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613"/>
  <workbookPr autoCompressPictures="0"/>
  <bookViews>
    <workbookView xWindow="4560" yWindow="6240" windowWidth="24460" windowHeight="12840"/>
  </bookViews>
  <sheets>
    <sheet name="SoftLoan" sheetId="2" r:id="rId1"/>
    <sheet name="CommercialLoan" sheetId="1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V39" i="1"/>
  <c r="V40" i="1"/>
  <c r="U39" i="1"/>
  <c r="U40" i="1"/>
  <c r="T39" i="1"/>
  <c r="T40" i="1"/>
  <c r="S39" i="1"/>
  <c r="S40" i="1"/>
  <c r="R39" i="1"/>
  <c r="R40" i="1"/>
  <c r="Q39" i="1"/>
  <c r="Q40" i="1"/>
  <c r="P39" i="1"/>
  <c r="P40" i="1"/>
  <c r="O39" i="1"/>
  <c r="O40" i="1"/>
  <c r="N39" i="1"/>
  <c r="N40" i="1"/>
  <c r="M39" i="1"/>
  <c r="M40" i="1"/>
  <c r="L39" i="1"/>
  <c r="L40" i="1"/>
  <c r="K39" i="1"/>
  <c r="K40" i="1"/>
  <c r="J39" i="1"/>
  <c r="J40" i="1"/>
  <c r="I39" i="1"/>
  <c r="I40" i="1"/>
  <c r="H39" i="1"/>
  <c r="H40" i="1"/>
  <c r="G39" i="1"/>
  <c r="G40" i="1"/>
  <c r="B35" i="1"/>
  <c r="C35" i="1"/>
  <c r="W35" i="1"/>
  <c r="E35" i="1"/>
  <c r="B34" i="1"/>
  <c r="V34" i="1"/>
  <c r="B33" i="1"/>
  <c r="B25" i="1"/>
  <c r="B22" i="1"/>
  <c r="D16" i="1"/>
  <c r="B16" i="1"/>
  <c r="B17" i="1"/>
  <c r="E14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G44" i="2"/>
  <c r="G46" i="2"/>
  <c r="F44" i="2"/>
  <c r="F46" i="2"/>
  <c r="E44" i="2"/>
  <c r="E46" i="2"/>
  <c r="D44" i="2"/>
  <c r="D46" i="2"/>
  <c r="C44" i="2"/>
  <c r="C46" i="2"/>
  <c r="B44" i="2"/>
  <c r="B46" i="2"/>
  <c r="AD38" i="1"/>
  <c r="Z38" i="1"/>
  <c r="V38" i="1"/>
  <c r="R38" i="1"/>
  <c r="N38" i="1"/>
  <c r="J38" i="1"/>
  <c r="AC38" i="1"/>
  <c r="Y38" i="1"/>
  <c r="U38" i="1"/>
  <c r="Q38" i="1"/>
  <c r="M38" i="1"/>
  <c r="I38" i="1"/>
  <c r="AF38" i="1"/>
  <c r="AB38" i="1"/>
  <c r="X38" i="1"/>
  <c r="T38" i="1"/>
  <c r="P38" i="1"/>
  <c r="L38" i="1"/>
  <c r="H38" i="1"/>
  <c r="AE38" i="1"/>
  <c r="AA38" i="1"/>
  <c r="W38" i="1"/>
  <c r="S38" i="1"/>
  <c r="O38" i="1"/>
  <c r="K38" i="1"/>
  <c r="G38" i="1"/>
  <c r="V35" i="1"/>
  <c r="C34" i="1"/>
  <c r="D35" i="1"/>
  <c r="W39" i="1"/>
  <c r="G41" i="1"/>
  <c r="B27" i="1"/>
  <c r="B36" i="1"/>
  <c r="AF36" i="1"/>
  <c r="E43" i="2"/>
  <c r="E45" i="2"/>
  <c r="F43" i="2"/>
  <c r="F45" i="2"/>
  <c r="D43" i="2"/>
  <c r="D45" i="2"/>
  <c r="F47" i="2"/>
  <c r="C43" i="2"/>
  <c r="C45" i="2"/>
  <c r="B56" i="1"/>
  <c r="B56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B43" i="2"/>
  <c r="V39" i="2"/>
  <c r="U39" i="2"/>
  <c r="U40" i="2"/>
  <c r="T39" i="2"/>
  <c r="T40" i="2"/>
  <c r="S39" i="2"/>
  <c r="S40" i="2"/>
  <c r="R39" i="2"/>
  <c r="R40" i="2"/>
  <c r="Q39" i="2"/>
  <c r="Q40" i="2"/>
  <c r="P39" i="2"/>
  <c r="P40" i="2"/>
  <c r="O39" i="2"/>
  <c r="O40" i="2"/>
  <c r="N39" i="2"/>
  <c r="N40" i="2"/>
  <c r="M39" i="2"/>
  <c r="M40" i="2"/>
  <c r="L39" i="2"/>
  <c r="L40" i="2"/>
  <c r="K39" i="2"/>
  <c r="K40" i="2"/>
  <c r="J39" i="2"/>
  <c r="J40" i="2"/>
  <c r="I39" i="2"/>
  <c r="I40" i="2"/>
  <c r="H39" i="2"/>
  <c r="H40" i="2"/>
  <c r="G39" i="2"/>
  <c r="B35" i="2"/>
  <c r="C35" i="2"/>
  <c r="W35" i="2"/>
  <c r="B34" i="2"/>
  <c r="V34" i="2"/>
  <c r="B33" i="2"/>
  <c r="B22" i="2"/>
  <c r="B51" i="2"/>
  <c r="B25" i="2"/>
  <c r="D16" i="2"/>
  <c r="B16" i="2"/>
  <c r="B17" i="2"/>
  <c r="AC38" i="2"/>
  <c r="E14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X39" i="1"/>
  <c r="W40" i="1"/>
  <c r="H45" i="1"/>
  <c r="H47" i="1"/>
  <c r="H48" i="1"/>
  <c r="G40" i="2"/>
  <c r="F53" i="2"/>
  <c r="V40" i="2"/>
  <c r="W39" i="2"/>
  <c r="B27" i="2"/>
  <c r="B36" i="2"/>
  <c r="AF36" i="2"/>
  <c r="C34" i="2"/>
  <c r="C47" i="2"/>
  <c r="G41" i="2"/>
  <c r="D35" i="2"/>
  <c r="D47" i="2"/>
  <c r="E35" i="2"/>
  <c r="E47" i="2"/>
  <c r="AF38" i="2"/>
  <c r="AB38" i="2"/>
  <c r="X38" i="2"/>
  <c r="T38" i="2"/>
  <c r="P38" i="2"/>
  <c r="L38" i="2"/>
  <c r="H38" i="2"/>
  <c r="H45" i="2"/>
  <c r="AE38" i="2"/>
  <c r="AA38" i="2"/>
  <c r="W38" i="2"/>
  <c r="S38" i="2"/>
  <c r="O38" i="2"/>
  <c r="K38" i="2"/>
  <c r="G38" i="2"/>
  <c r="Z38" i="2"/>
  <c r="R38" i="2"/>
  <c r="J38" i="2"/>
  <c r="Y38" i="2"/>
  <c r="Q38" i="2"/>
  <c r="I38" i="2"/>
  <c r="AD38" i="2"/>
  <c r="V38" i="2"/>
  <c r="N38" i="2"/>
  <c r="M38" i="2"/>
  <c r="U38" i="2"/>
  <c r="V35" i="2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X40" i="1"/>
  <c r="Y39" i="1"/>
  <c r="G45" i="2"/>
  <c r="G47" i="2"/>
  <c r="C53" i="2"/>
  <c r="B47" i="2"/>
  <c r="B48" i="2"/>
  <c r="F48" i="2"/>
  <c r="X39" i="2"/>
  <c r="W40" i="2"/>
  <c r="D53" i="2"/>
  <c r="C48" i="2"/>
  <c r="E48" i="2"/>
  <c r="E53" i="2"/>
  <c r="B51" i="1"/>
  <c r="Y40" i="1"/>
  <c r="Z39" i="1"/>
  <c r="D48" i="2"/>
  <c r="Y39" i="2"/>
  <c r="X40" i="2"/>
  <c r="B53" i="2"/>
  <c r="C52" i="2"/>
  <c r="G48" i="2"/>
  <c r="Z40" i="1"/>
  <c r="AA39" i="1"/>
  <c r="Z39" i="2"/>
  <c r="Y40" i="2"/>
  <c r="B58" i="2"/>
  <c r="B59" i="2"/>
  <c r="C58" i="2"/>
  <c r="C59" i="2"/>
  <c r="AB39" i="1"/>
  <c r="AA40" i="1"/>
  <c r="AA39" i="2"/>
  <c r="Z40" i="2"/>
  <c r="D52" i="2"/>
  <c r="AB40" i="1"/>
  <c r="AC39" i="1"/>
  <c r="AB39" i="2"/>
  <c r="AA40" i="2"/>
  <c r="AC40" i="1"/>
  <c r="AD39" i="1"/>
  <c r="AC39" i="2"/>
  <c r="AB40" i="2"/>
  <c r="D58" i="2"/>
  <c r="D59" i="2"/>
  <c r="E52" i="2"/>
  <c r="AD40" i="1"/>
  <c r="AE39" i="1"/>
  <c r="AD39" i="2"/>
  <c r="AC40" i="2"/>
  <c r="AF39" i="1"/>
  <c r="AE40" i="1"/>
  <c r="AE39" i="2"/>
  <c r="AD40" i="2"/>
  <c r="E58" i="2"/>
  <c r="E59" i="2"/>
  <c r="F52" i="2"/>
  <c r="AF40" i="1"/>
  <c r="AF39" i="2"/>
  <c r="AE40" i="2"/>
  <c r="AF40" i="2"/>
  <c r="F58" i="2"/>
  <c r="F59" i="2"/>
  <c r="G52" i="2"/>
  <c r="G53" i="2"/>
  <c r="G58" i="2"/>
  <c r="G59" i="2"/>
  <c r="H46" i="2"/>
  <c r="H47" i="2"/>
  <c r="H48" i="2"/>
  <c r="H52" i="2"/>
  <c r="H53" i="2"/>
  <c r="P55" i="2"/>
  <c r="H55" i="2"/>
  <c r="I52" i="2"/>
  <c r="I54" i="2"/>
  <c r="I44" i="2"/>
  <c r="I45" i="2"/>
  <c r="T55" i="2"/>
  <c r="J55" i="2"/>
  <c r="U55" i="2"/>
  <c r="L55" i="2"/>
  <c r="M55" i="2"/>
  <c r="R55" i="2"/>
  <c r="K55" i="2"/>
  <c r="V55" i="2"/>
  <c r="O55" i="2"/>
  <c r="N55" i="2"/>
  <c r="Q55" i="2"/>
  <c r="H54" i="2"/>
  <c r="S55" i="2"/>
  <c r="I55" i="2"/>
  <c r="J52" i="2"/>
  <c r="J54" i="2"/>
  <c r="J44" i="2"/>
  <c r="J45" i="2"/>
  <c r="H58" i="2"/>
  <c r="H59" i="2"/>
  <c r="I46" i="2"/>
  <c r="I47" i="2"/>
  <c r="K52" i="2"/>
  <c r="I58" i="2"/>
  <c r="I59" i="2"/>
  <c r="I48" i="2"/>
  <c r="L52" i="2"/>
  <c r="K54" i="2"/>
  <c r="K44" i="2"/>
  <c r="K45" i="2"/>
  <c r="J46" i="2"/>
  <c r="J47" i="2"/>
  <c r="J48" i="2"/>
  <c r="K46" i="2"/>
  <c r="K47" i="2"/>
  <c r="M52" i="2"/>
  <c r="L54" i="2"/>
  <c r="L44" i="2"/>
  <c r="L45" i="2"/>
  <c r="J58" i="2"/>
  <c r="J59" i="2"/>
  <c r="K58" i="2"/>
  <c r="K48" i="2"/>
  <c r="K59" i="2"/>
  <c r="L46" i="2"/>
  <c r="N52" i="2"/>
  <c r="M54" i="2"/>
  <c r="M44" i="2"/>
  <c r="M45" i="2"/>
  <c r="L47" i="2"/>
  <c r="L58" i="2"/>
  <c r="L59" i="2"/>
  <c r="N54" i="2"/>
  <c r="N44" i="2"/>
  <c r="N45" i="2"/>
  <c r="O52" i="2"/>
  <c r="M46" i="2"/>
  <c r="M47" i="2"/>
  <c r="L48" i="2"/>
  <c r="M48" i="2"/>
  <c r="M58" i="2"/>
  <c r="M59" i="2"/>
  <c r="N46" i="2"/>
  <c r="N47" i="2"/>
  <c r="O54" i="2"/>
  <c r="O44" i="2"/>
  <c r="O45" i="2"/>
  <c r="P52" i="2"/>
  <c r="N48" i="2"/>
  <c r="N58" i="2"/>
  <c r="N59" i="2"/>
  <c r="Q52" i="2"/>
  <c r="P54" i="2"/>
  <c r="P44" i="2"/>
  <c r="P45" i="2"/>
  <c r="O46" i="2"/>
  <c r="O47" i="2"/>
  <c r="O48" i="2"/>
  <c r="O58" i="2"/>
  <c r="P46" i="2"/>
  <c r="R52" i="2"/>
  <c r="Q54" i="2"/>
  <c r="Q44" i="2"/>
  <c r="Q45" i="2"/>
  <c r="O59" i="2"/>
  <c r="P47" i="2"/>
  <c r="P48" i="2"/>
  <c r="Q46" i="2"/>
  <c r="R54" i="2"/>
  <c r="R44" i="2"/>
  <c r="R45" i="2"/>
  <c r="S52" i="2"/>
  <c r="P58" i="2"/>
  <c r="P59" i="2"/>
  <c r="Q47" i="2"/>
  <c r="Q58" i="2"/>
  <c r="T52" i="2"/>
  <c r="S54" i="2"/>
  <c r="S44" i="2"/>
  <c r="S45" i="2"/>
  <c r="R46" i="2"/>
  <c r="Q59" i="2"/>
  <c r="Q48" i="2"/>
  <c r="R47" i="2"/>
  <c r="R58" i="2"/>
  <c r="R59" i="2"/>
  <c r="R48" i="2"/>
  <c r="S46" i="2"/>
  <c r="U52" i="2"/>
  <c r="T54" i="2"/>
  <c r="T44" i="2"/>
  <c r="T45" i="2"/>
  <c r="S47" i="2"/>
  <c r="S58" i="2"/>
  <c r="S59" i="2"/>
  <c r="T46" i="2"/>
  <c r="V52" i="2"/>
  <c r="U54" i="2"/>
  <c r="U44" i="2"/>
  <c r="U45" i="2"/>
  <c r="S48" i="2"/>
  <c r="T47" i="2"/>
  <c r="T48" i="2"/>
  <c r="T58" i="2"/>
  <c r="T59" i="2"/>
  <c r="U46" i="2"/>
  <c r="V54" i="2"/>
  <c r="V44" i="2"/>
  <c r="V45" i="2"/>
  <c r="W52" i="2"/>
  <c r="U47" i="2"/>
  <c r="U48" i="2"/>
  <c r="W54" i="2"/>
  <c r="W44" i="2"/>
  <c r="W45" i="2"/>
  <c r="W55" i="2"/>
  <c r="X52" i="2"/>
  <c r="V46" i="2"/>
  <c r="V47" i="2"/>
  <c r="U58" i="2"/>
  <c r="U59" i="2"/>
  <c r="X55" i="2"/>
  <c r="Y52" i="2"/>
  <c r="X54" i="2"/>
  <c r="X44" i="2"/>
  <c r="X45" i="2"/>
  <c r="V48" i="2"/>
  <c r="V58" i="2"/>
  <c r="V59" i="2"/>
  <c r="W46" i="2"/>
  <c r="W47" i="2"/>
  <c r="Y54" i="2"/>
  <c r="Y44" i="2"/>
  <c r="Y45" i="2"/>
  <c r="Y55" i="2"/>
  <c r="Z52" i="2"/>
  <c r="W48" i="2"/>
  <c r="W58" i="2"/>
  <c r="W59" i="2"/>
  <c r="X46" i="2"/>
  <c r="X47" i="2"/>
  <c r="X58" i="2"/>
  <c r="X59" i="2"/>
  <c r="X48" i="2"/>
  <c r="Z55" i="2"/>
  <c r="AA52" i="2"/>
  <c r="Z54" i="2"/>
  <c r="Z44" i="2"/>
  <c r="Z45" i="2"/>
  <c r="Y46" i="2"/>
  <c r="Y47" i="2"/>
  <c r="Y58" i="2"/>
  <c r="Y48" i="2"/>
  <c r="AA55" i="2"/>
  <c r="AB52" i="2"/>
  <c r="AA54" i="2"/>
  <c r="AA44" i="2"/>
  <c r="AA45" i="2"/>
  <c r="Z46" i="2"/>
  <c r="Z47" i="2"/>
  <c r="Y59" i="2"/>
  <c r="Z48" i="2"/>
  <c r="Z58" i="2"/>
  <c r="Z59" i="2"/>
  <c r="AB54" i="2"/>
  <c r="AB44" i="2"/>
  <c r="AB45" i="2"/>
  <c r="AB55" i="2"/>
  <c r="AC52" i="2"/>
  <c r="AA46" i="2"/>
  <c r="AA47" i="2"/>
  <c r="AC55" i="2"/>
  <c r="AD52" i="2"/>
  <c r="AC54" i="2"/>
  <c r="AC44" i="2"/>
  <c r="AC45" i="2"/>
  <c r="AA58" i="2"/>
  <c r="AA59" i="2"/>
  <c r="AA48" i="2"/>
  <c r="AB46" i="2"/>
  <c r="AB47" i="2"/>
  <c r="AB58" i="2"/>
  <c r="AB59" i="2"/>
  <c r="AB48" i="2"/>
  <c r="AD55" i="2"/>
  <c r="AE52" i="2"/>
  <c r="AD54" i="2"/>
  <c r="AD44" i="2"/>
  <c r="AD45" i="2"/>
  <c r="AC46" i="2"/>
  <c r="AC47" i="2"/>
  <c r="AE55" i="2"/>
  <c r="AF52" i="2"/>
  <c r="AE54" i="2"/>
  <c r="AE44" i="2"/>
  <c r="AE45" i="2"/>
  <c r="AD46" i="2"/>
  <c r="AC58" i="2"/>
  <c r="AC59" i="2"/>
  <c r="AC48" i="2"/>
  <c r="AD47" i="2"/>
  <c r="AD58" i="2"/>
  <c r="AD59" i="2"/>
  <c r="AF54" i="2"/>
  <c r="AF44" i="2"/>
  <c r="AF45" i="2"/>
  <c r="AF55" i="2"/>
  <c r="AE46" i="2"/>
  <c r="AD48" i="2"/>
  <c r="AE47" i="2"/>
  <c r="AE48" i="2"/>
  <c r="AF46" i="2"/>
  <c r="AE58" i="2"/>
  <c r="AE59" i="2"/>
  <c r="AF47" i="2"/>
  <c r="AF58" i="2"/>
  <c r="AF48" i="2"/>
  <c r="B26" i="2"/>
  <c r="AF59" i="2"/>
  <c r="B46" i="1"/>
  <c r="B47" i="1"/>
  <c r="B53" i="1"/>
  <c r="B54" i="1"/>
  <c r="B48" i="1"/>
  <c r="C45" i="1"/>
  <c r="C46" i="1"/>
  <c r="C47" i="1"/>
  <c r="C48" i="1"/>
  <c r="C53" i="1"/>
  <c r="D45" i="1"/>
  <c r="D46" i="1"/>
  <c r="D47" i="1"/>
  <c r="C52" i="1"/>
  <c r="B58" i="1"/>
  <c r="B59" i="1"/>
  <c r="C54" i="1"/>
  <c r="D48" i="1"/>
  <c r="C58" i="1"/>
  <c r="C59" i="1"/>
  <c r="D52" i="1"/>
  <c r="D53" i="1"/>
  <c r="D54" i="1"/>
  <c r="E52" i="1"/>
  <c r="E46" i="1"/>
  <c r="E45" i="1"/>
  <c r="E47" i="1"/>
  <c r="D58" i="1"/>
  <c r="D59" i="1"/>
  <c r="E53" i="1"/>
  <c r="E48" i="1"/>
  <c r="E54" i="1"/>
  <c r="F52" i="1"/>
  <c r="E58" i="1"/>
  <c r="E59" i="1"/>
  <c r="F46" i="1"/>
  <c r="F45" i="1"/>
  <c r="F47" i="1"/>
  <c r="F48" i="1"/>
  <c r="F53" i="1"/>
  <c r="F54" i="1"/>
  <c r="G52" i="1"/>
  <c r="F58" i="1"/>
  <c r="F59" i="1"/>
  <c r="G46" i="1"/>
  <c r="G45" i="1"/>
  <c r="G47" i="1"/>
  <c r="G48" i="1"/>
  <c r="G53" i="1"/>
  <c r="G54" i="1"/>
  <c r="H52" i="1"/>
  <c r="G58" i="1"/>
  <c r="G59" i="1"/>
  <c r="H54" i="1"/>
  <c r="H53" i="1"/>
  <c r="S55" i="1"/>
  <c r="O55" i="1"/>
  <c r="N55" i="1"/>
  <c r="T55" i="1"/>
  <c r="M55" i="1"/>
  <c r="L55" i="1"/>
  <c r="J55" i="1"/>
  <c r="H55" i="1"/>
  <c r="H58" i="1"/>
  <c r="H59" i="1"/>
  <c r="Q55" i="1"/>
  <c r="U55" i="1"/>
  <c r="K55" i="1"/>
  <c r="R55" i="1"/>
  <c r="P55" i="1"/>
  <c r="V55" i="1"/>
  <c r="I55" i="1"/>
  <c r="I52" i="1"/>
  <c r="J52" i="1"/>
  <c r="I54" i="1"/>
  <c r="I44" i="1"/>
  <c r="I45" i="1"/>
  <c r="I46" i="1"/>
  <c r="I47" i="1"/>
  <c r="J54" i="1"/>
  <c r="J44" i="1"/>
  <c r="K52" i="1"/>
  <c r="J45" i="1"/>
  <c r="J46" i="1"/>
  <c r="J47" i="1"/>
  <c r="I48" i="1"/>
  <c r="I58" i="1"/>
  <c r="I59" i="1"/>
  <c r="K54" i="1"/>
  <c r="K44" i="1"/>
  <c r="L52" i="1"/>
  <c r="J58" i="1"/>
  <c r="J48" i="1"/>
  <c r="K46" i="1"/>
  <c r="K45" i="1"/>
  <c r="K47" i="1"/>
  <c r="M52" i="1"/>
  <c r="L54" i="1"/>
  <c r="L44" i="1"/>
  <c r="J59" i="1"/>
  <c r="K48" i="1"/>
  <c r="K58" i="1"/>
  <c r="K59" i="1"/>
  <c r="L45" i="1"/>
  <c r="L46" i="1"/>
  <c r="L47" i="1"/>
  <c r="M54" i="1"/>
  <c r="M44" i="1"/>
  <c r="N52" i="1"/>
  <c r="L48" i="1"/>
  <c r="L58" i="1"/>
  <c r="L59" i="1"/>
  <c r="O52" i="1"/>
  <c r="N54" i="1"/>
  <c r="N44" i="1"/>
  <c r="M46" i="1"/>
  <c r="M45" i="1"/>
  <c r="M47" i="1"/>
  <c r="O54" i="1"/>
  <c r="O44" i="1"/>
  <c r="P52" i="1"/>
  <c r="M58" i="1"/>
  <c r="M59" i="1"/>
  <c r="M48" i="1"/>
  <c r="N45" i="1"/>
  <c r="N46" i="1"/>
  <c r="N47" i="1"/>
  <c r="N58" i="1"/>
  <c r="N59" i="1"/>
  <c r="N48" i="1"/>
  <c r="Q52" i="1"/>
  <c r="P54" i="1"/>
  <c r="P44" i="1"/>
  <c r="O46" i="1"/>
  <c r="O45" i="1"/>
  <c r="O47" i="1"/>
  <c r="O48" i="1"/>
  <c r="O58" i="1"/>
  <c r="O59" i="1"/>
  <c r="Q54" i="1"/>
  <c r="Q44" i="1"/>
  <c r="R52" i="1"/>
  <c r="P45" i="1"/>
  <c r="P46" i="1"/>
  <c r="P47" i="1"/>
  <c r="P48" i="1"/>
  <c r="P58" i="1"/>
  <c r="P59" i="1"/>
  <c r="Q46" i="1"/>
  <c r="Q45" i="1"/>
  <c r="R54" i="1"/>
  <c r="R44" i="1"/>
  <c r="S52" i="1"/>
  <c r="Q47" i="1"/>
  <c r="Q48" i="1"/>
  <c r="Q58" i="1"/>
  <c r="Q59" i="1"/>
  <c r="R46" i="1"/>
  <c r="R45" i="1"/>
  <c r="T52" i="1"/>
  <c r="S54" i="1"/>
  <c r="S44" i="1"/>
  <c r="R47" i="1"/>
  <c r="R48" i="1"/>
  <c r="R58" i="1"/>
  <c r="R59" i="1"/>
  <c r="T54" i="1"/>
  <c r="T44" i="1"/>
  <c r="U52" i="1"/>
  <c r="S46" i="1"/>
  <c r="S45" i="1"/>
  <c r="S47" i="1"/>
  <c r="S48" i="1"/>
  <c r="S58" i="1"/>
  <c r="S59" i="1"/>
  <c r="T46" i="1"/>
  <c r="T45" i="1"/>
  <c r="T47" i="1"/>
  <c r="V52" i="1"/>
  <c r="U54" i="1"/>
  <c r="U44" i="1"/>
  <c r="T58" i="1"/>
  <c r="T59" i="1"/>
  <c r="T48" i="1"/>
  <c r="U46" i="1"/>
  <c r="U45" i="1"/>
  <c r="U47" i="1"/>
  <c r="W52" i="1"/>
  <c r="V54" i="1"/>
  <c r="V44" i="1"/>
  <c r="U58" i="1"/>
  <c r="U59" i="1"/>
  <c r="U48" i="1"/>
  <c r="V46" i="1"/>
  <c r="V45" i="1"/>
  <c r="W54" i="1"/>
  <c r="W44" i="1"/>
  <c r="W55" i="1"/>
  <c r="X52" i="1"/>
  <c r="V47" i="1"/>
  <c r="X55" i="1"/>
  <c r="Y52" i="1"/>
  <c r="X54" i="1"/>
  <c r="X44" i="1"/>
  <c r="W46" i="1"/>
  <c r="W45" i="1"/>
  <c r="V58" i="1"/>
  <c r="V59" i="1"/>
  <c r="V48" i="1"/>
  <c r="W47" i="1"/>
  <c r="Y55" i="1"/>
  <c r="Z52" i="1"/>
  <c r="Y54" i="1"/>
  <c r="Y44" i="1"/>
  <c r="W58" i="1"/>
  <c r="W59" i="1"/>
  <c r="W48" i="1"/>
  <c r="X46" i="1"/>
  <c r="X45" i="1"/>
  <c r="X47" i="1"/>
  <c r="X48" i="1"/>
  <c r="X58" i="1"/>
  <c r="X59" i="1"/>
  <c r="Z54" i="1"/>
  <c r="Z44" i="1"/>
  <c r="Z55" i="1"/>
  <c r="AA52" i="1"/>
  <c r="Y46" i="1"/>
  <c r="Y45" i="1"/>
  <c r="Y47" i="1"/>
  <c r="Y48" i="1"/>
  <c r="Y58" i="1"/>
  <c r="Y59" i="1"/>
  <c r="Z45" i="1"/>
  <c r="Z46" i="1"/>
  <c r="Z47" i="1"/>
  <c r="AA54" i="1"/>
  <c r="AA44" i="1"/>
  <c r="AA55" i="1"/>
  <c r="AB52" i="1"/>
  <c r="Z48" i="1"/>
  <c r="Z58" i="1"/>
  <c r="AB54" i="1"/>
  <c r="AB44" i="1"/>
  <c r="AB55" i="1"/>
  <c r="AC52" i="1"/>
  <c r="Z59" i="1"/>
  <c r="AA45" i="1"/>
  <c r="AA46" i="1"/>
  <c r="AA47" i="1"/>
  <c r="AA58" i="1"/>
  <c r="AA48" i="1"/>
  <c r="AB46" i="1"/>
  <c r="AB45" i="1"/>
  <c r="AB47" i="1"/>
  <c r="AA59" i="1"/>
  <c r="AC55" i="1"/>
  <c r="AD52" i="1"/>
  <c r="AC54" i="1"/>
  <c r="AC44" i="1"/>
  <c r="AB48" i="1"/>
  <c r="AB58" i="1"/>
  <c r="AB59" i="1"/>
  <c r="AD55" i="1"/>
  <c r="AE52" i="1"/>
  <c r="AD54" i="1"/>
  <c r="AD44" i="1"/>
  <c r="AC46" i="1"/>
  <c r="AC45" i="1"/>
  <c r="AC47" i="1"/>
  <c r="AE55" i="1"/>
  <c r="AF52" i="1"/>
  <c r="AE54" i="1"/>
  <c r="AE44" i="1"/>
  <c r="AC48" i="1"/>
  <c r="AC58" i="1"/>
  <c r="AC59" i="1"/>
  <c r="AD45" i="1"/>
  <c r="AD46" i="1"/>
  <c r="AD47" i="1"/>
  <c r="AD58" i="1"/>
  <c r="AD48" i="1"/>
  <c r="AD59" i="1"/>
  <c r="AF54" i="1"/>
  <c r="AF44" i="1"/>
  <c r="AF55" i="1"/>
  <c r="AE45" i="1"/>
  <c r="AE46" i="1"/>
  <c r="AE47" i="1"/>
  <c r="AE48" i="1"/>
  <c r="AE58" i="1"/>
  <c r="AE59" i="1"/>
  <c r="AF45" i="1"/>
  <c r="AF46" i="1"/>
  <c r="AF47" i="1"/>
  <c r="AF48" i="1"/>
  <c r="B26" i="1"/>
  <c r="AF58" i="1"/>
  <c r="AF59" i="1"/>
</calcChain>
</file>

<file path=xl/comments1.xml><?xml version="1.0" encoding="utf-8"?>
<comments xmlns="http://schemas.openxmlformats.org/spreadsheetml/2006/main">
  <authors>
    <author>Administrator</author>
  </authors>
  <commentList>
    <comment ref="H44" authorId="0">
      <text>
        <r>
          <rPr>
            <sz val="9"/>
            <color indexed="81"/>
            <rFont val="Tahoma"/>
            <family val="2"/>
          </rPr>
          <t>Approximation; manually copy the number from cell H54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44" authorId="0">
      <text>
        <r>
          <rPr>
            <sz val="9"/>
            <color indexed="81"/>
            <rFont val="Tahoma"/>
            <family val="2"/>
          </rPr>
          <t>Approximation; manually copy the number from cell H54</t>
        </r>
      </text>
    </comment>
  </commentList>
</comments>
</file>

<file path=xl/sharedStrings.xml><?xml version="1.0" encoding="utf-8"?>
<sst xmlns="http://schemas.openxmlformats.org/spreadsheetml/2006/main" count="156" uniqueCount="74">
  <si>
    <t>Initial investment (land)</t>
  </si>
  <si>
    <t>/ha</t>
  </si>
  <si>
    <t>Initial investment (crop)</t>
  </si>
  <si>
    <t>Initial investment (other)</t>
  </si>
  <si>
    <t>/ha (assumed to decline linearly)</t>
  </si>
  <si>
    <t>Initial investment period</t>
  </si>
  <si>
    <t>years</t>
  </si>
  <si>
    <t>Operating period</t>
  </si>
  <si>
    <t>Crop production in 1st year of operations</t>
  </si>
  <si>
    <t>Crop production growth rate y1-15</t>
  </si>
  <si>
    <t>per year</t>
  </si>
  <si>
    <t>Nr of hectacres</t>
  </si>
  <si>
    <t>(Average farm size in Spain is 22ha)</t>
  </si>
  <si>
    <t>Percentage farm land</t>
  </si>
  <si>
    <t>Rental income land</t>
  </si>
  <si>
    <t>(Average rent for agricultural land in Spain is €175/ha)</t>
  </si>
  <si>
    <t>Payment for ecoservices per hectare</t>
  </si>
  <si>
    <t>being</t>
  </si>
  <si>
    <t>tour operators</t>
  </si>
  <si>
    <t>watershed serv.</t>
  </si>
  <si>
    <t>Payment for ecoservices</t>
  </si>
  <si>
    <t>Income from CO2 certificates</t>
  </si>
  <si>
    <t>/CO2 certificate</t>
  </si>
  <si>
    <t>CO2 capture from land</t>
  </si>
  <si>
    <t>tonnes per hectare per year</t>
  </si>
  <si>
    <t>Required farmer income</t>
  </si>
  <si>
    <t>Initial grant</t>
  </si>
  <si>
    <t>(=land price)</t>
  </si>
  <si>
    <t>Interest rate  loan</t>
  </si>
  <si>
    <t>(assumed to be Rf)</t>
  </si>
  <si>
    <t>Amortisation period</t>
  </si>
  <si>
    <t>Discount rate</t>
  </si>
  <si>
    <t>(macroeconomic discounting at Rf)</t>
  </si>
  <si>
    <t>NPV</t>
  </si>
  <si>
    <t>Working capital</t>
  </si>
  <si>
    <t>Investment:</t>
  </si>
  <si>
    <t>- Land</t>
  </si>
  <si>
    <t>- Crop</t>
  </si>
  <si>
    <t>- Other</t>
  </si>
  <si>
    <t>- Working capital/buffer (ESCROW account)</t>
  </si>
  <si>
    <t>Income:</t>
  </si>
  <si>
    <t>- Payment for ecoservices</t>
  </si>
  <si>
    <t>- Crop income</t>
  </si>
  <si>
    <t>- CO2 certificates</t>
  </si>
  <si>
    <t>Expenses:</t>
  </si>
  <si>
    <t>- Farmer family needs</t>
  </si>
  <si>
    <t>- Taxes</t>
  </si>
  <si>
    <t>Cash balance before financing</t>
  </si>
  <si>
    <t>PV of cash flows before financing</t>
  </si>
  <si>
    <t>Cash balance after financing</t>
  </si>
  <si>
    <t>Government grant/subsidy</t>
  </si>
  <si>
    <t>Debt outstanding at start of the year</t>
  </si>
  <si>
    <t>- Interest cost</t>
  </si>
  <si>
    <t>- Amortisation (assumed straight line)</t>
  </si>
  <si>
    <t>Equity</t>
  </si>
  <si>
    <t>- Dividends + capital gains</t>
  </si>
  <si>
    <t>Accumulated cash balance after financing</t>
  </si>
  <si>
    <t>flat per year (see above sources of PES)</t>
  </si>
  <si>
    <t>- Newly issued debt (start of year)</t>
  </si>
  <si>
    <t>years (choose 20, 25, or 30 years, and check the Cash Balance After Financing)</t>
  </si>
  <si>
    <t>- Markup through Almendresa</t>
  </si>
  <si>
    <t>Almendresa markup</t>
  </si>
  <si>
    <t>on top of sales price</t>
  </si>
  <si>
    <t>; hence the remaining</t>
  </si>
  <si>
    <t>become forests</t>
  </si>
  <si>
    <t>Land restoration (farmer remains owner); commercial loan where interest is added to the balance in y1-5</t>
  </si>
  <si>
    <t>Land restoration (farmer remains owner); soft loan forgives interest in y1-5</t>
  </si>
  <si>
    <t>(assumed to be 50% of the year-0 investment in "Crop and Other"; serves as a buffer; is parked at an ESCROW account)</t>
  </si>
  <si>
    <t>(any euro added is subtracted from the loan)</t>
  </si>
  <si>
    <t>Farmer's equity injection in year 0</t>
  </si>
  <si>
    <t>/ha (plus another 50% in the next year)</t>
  </si>
  <si>
    <t>Income tax rate</t>
  </si>
  <si>
    <t>Interest expenses (for tax deductibility)</t>
  </si>
  <si>
    <t>Adding back interest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</si>
</sst>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"/>
    <numFmt numFmtId="165" formatCode="0.000%"/>
  </numFmts>
  <fonts count="9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2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9"/>
      <color indexed="81"/>
      <name val="Tahoma"/>
      <family val="2"/>
    </font>
    <font>
      <i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quotePrefix="1"/>
    <xf numFmtId="164" fontId="0" fillId="2" borderId="0" xfId="0" applyNumberFormat="1" applyFill="1"/>
    <xf numFmtId="9" fontId="0" fillId="0" borderId="0" xfId="0" applyNumberFormat="1"/>
    <xf numFmtId="3" fontId="0" fillId="2" borderId="0" xfId="0" applyNumberFormat="1" applyFill="1"/>
    <xf numFmtId="3" fontId="0" fillId="0" borderId="0" xfId="0" applyNumberFormat="1"/>
    <xf numFmtId="164" fontId="0" fillId="0" borderId="0" xfId="0" applyNumberFormat="1" applyFill="1"/>
    <xf numFmtId="164" fontId="0" fillId="3" borderId="0" xfId="0" applyNumberFormat="1" applyFill="1"/>
    <xf numFmtId="165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0" fillId="0" borderId="0" xfId="0" applyNumberFormat="1" applyFont="1"/>
    <xf numFmtId="0" fontId="5" fillId="0" borderId="0" xfId="0" quotePrefix="1" applyFont="1"/>
    <xf numFmtId="3" fontId="0" fillId="0" borderId="0" xfId="0" applyNumberFormat="1" applyFill="1"/>
    <xf numFmtId="0" fontId="0" fillId="0" borderId="0" xfId="0" applyFill="1"/>
    <xf numFmtId="9" fontId="0" fillId="2" borderId="0" xfId="0" applyNumberFormat="1" applyFill="1"/>
    <xf numFmtId="0" fontId="1" fillId="0" borderId="1" xfId="0" applyFont="1" applyBorder="1"/>
    <xf numFmtId="3" fontId="0" fillId="0" borderId="2" xfId="0" applyNumberFormat="1" applyBorder="1"/>
    <xf numFmtId="0" fontId="4" fillId="0" borderId="1" xfId="0" applyFont="1" applyBorder="1"/>
    <xf numFmtId="0" fontId="0" fillId="0" borderId="1" xfId="0" applyBorder="1"/>
    <xf numFmtId="3" fontId="0" fillId="0" borderId="2" xfId="0" applyNumberFormat="1" applyFill="1" applyBorder="1"/>
    <xf numFmtId="0" fontId="4" fillId="0" borderId="3" xfId="0" applyFont="1" applyBorder="1"/>
    <xf numFmtId="3" fontId="0" fillId="0" borderId="3" xfId="0" applyNumberFormat="1" applyBorder="1"/>
    <xf numFmtId="3" fontId="0" fillId="0" borderId="3" xfId="0" applyNumberFormat="1" applyFill="1" applyBorder="1"/>
    <xf numFmtId="0" fontId="0" fillId="0" borderId="2" xfId="0" quotePrefix="1" applyBorder="1"/>
    <xf numFmtId="0" fontId="0" fillId="0" borderId="2" xfId="0" applyBorder="1"/>
    <xf numFmtId="9" fontId="0" fillId="0" borderId="0" xfId="0" applyNumberFormat="1" applyFill="1"/>
    <xf numFmtId="0" fontId="6" fillId="0" borderId="0" xfId="0" quotePrefix="1" applyFont="1"/>
    <xf numFmtId="0" fontId="0" fillId="0" borderId="0" xfId="0" quotePrefix="1" applyBorder="1"/>
    <xf numFmtId="3" fontId="0" fillId="0" borderId="0" xfId="0" applyNumberFormat="1" applyBorder="1"/>
    <xf numFmtId="0" fontId="6" fillId="0" borderId="2" xfId="0" quotePrefix="1" applyFont="1" applyBorder="1"/>
    <xf numFmtId="3" fontId="6" fillId="0" borderId="0" xfId="0" applyNumberFormat="1" applyFont="1"/>
    <xf numFmtId="3" fontId="6" fillId="0" borderId="2" xfId="0" applyNumberFormat="1" applyFont="1" applyBorder="1"/>
    <xf numFmtId="3" fontId="8" fillId="0" borderId="0" xfId="0" applyNumberFormat="1" applyFont="1"/>
    <xf numFmtId="0" fontId="0" fillId="0" borderId="0" xfId="0" quotePrefix="1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F77"/>
  <sheetViews>
    <sheetView tabSelected="1" workbookViewId="0">
      <selection activeCell="A5" sqref="A5:XFD48"/>
    </sheetView>
  </sheetViews>
  <sheetFormatPr baseColWidth="10" defaultColWidth="8.83203125" defaultRowHeight="14" x14ac:dyDescent="0"/>
  <cols>
    <col min="1" max="1" width="36.6640625" bestFit="1" customWidth="1"/>
    <col min="2" max="2" width="9.83203125" bestFit="1" customWidth="1"/>
    <col min="12" max="12" width="8.33203125" bestFit="1" customWidth="1"/>
  </cols>
  <sheetData>
    <row r="3" spans="1:13" ht="28">
      <c r="A3" s="1" t="s">
        <v>66</v>
      </c>
      <c r="J3" s="1"/>
    </row>
    <row r="5" spans="1:13">
      <c r="A5" t="s">
        <v>0</v>
      </c>
      <c r="B5" s="2">
        <v>0</v>
      </c>
      <c r="C5" s="3" t="s">
        <v>1</v>
      </c>
      <c r="L5" s="2"/>
      <c r="M5" s="3"/>
    </row>
    <row r="6" spans="1:13">
      <c r="A6" t="s">
        <v>2</v>
      </c>
      <c r="B6" s="4">
        <v>1000</v>
      </c>
      <c r="C6" s="3" t="s">
        <v>70</v>
      </c>
      <c r="L6" s="2"/>
      <c r="M6" s="3"/>
    </row>
    <row r="7" spans="1:13">
      <c r="A7" t="s">
        <v>3</v>
      </c>
      <c r="B7" s="4">
        <v>1000</v>
      </c>
      <c r="C7" s="3" t="s">
        <v>4</v>
      </c>
      <c r="L7" s="2"/>
      <c r="M7" s="3"/>
    </row>
    <row r="8" spans="1:13">
      <c r="A8" t="s">
        <v>5</v>
      </c>
      <c r="B8">
        <v>5</v>
      </c>
      <c r="C8" t="s">
        <v>6</v>
      </c>
    </row>
    <row r="9" spans="1:13">
      <c r="A9" t="s">
        <v>7</v>
      </c>
      <c r="B9">
        <v>25</v>
      </c>
      <c r="C9" t="s">
        <v>6</v>
      </c>
    </row>
    <row r="10" spans="1:13">
      <c r="A10" t="s">
        <v>8</v>
      </c>
      <c r="B10" s="2">
        <v>1000</v>
      </c>
      <c r="C10" s="3" t="s">
        <v>1</v>
      </c>
      <c r="L10" s="2"/>
      <c r="M10" s="3"/>
    </row>
    <row r="11" spans="1:13">
      <c r="A11" t="s">
        <v>9</v>
      </c>
      <c r="B11" s="5">
        <v>0.04</v>
      </c>
      <c r="C11" t="s">
        <v>10</v>
      </c>
      <c r="L11" s="5"/>
    </row>
    <row r="12" spans="1:13">
      <c r="A12" t="s">
        <v>61</v>
      </c>
      <c r="B12" s="5">
        <v>0.1</v>
      </c>
      <c r="C12" t="s">
        <v>62</v>
      </c>
      <c r="L12" s="5"/>
    </row>
    <row r="13" spans="1:13">
      <c r="A13" t="s">
        <v>11</v>
      </c>
      <c r="B13" s="6">
        <v>55</v>
      </c>
      <c r="C13" s="3" t="s">
        <v>12</v>
      </c>
      <c r="L13" s="7"/>
      <c r="M13" s="3"/>
    </row>
    <row r="14" spans="1:13">
      <c r="A14" t="s">
        <v>13</v>
      </c>
      <c r="B14" s="19">
        <v>0.7</v>
      </c>
      <c r="C14" s="38" t="s">
        <v>63</v>
      </c>
      <c r="D14" s="38"/>
      <c r="E14" s="30">
        <f>1-B14</f>
        <v>0.30000000000000004</v>
      </c>
      <c r="F14" t="s">
        <v>64</v>
      </c>
      <c r="L14" s="5"/>
      <c r="M14" s="3"/>
    </row>
    <row r="15" spans="1:13">
      <c r="A15" t="s">
        <v>14</v>
      </c>
      <c r="B15" s="2">
        <v>0</v>
      </c>
      <c r="C15" s="3" t="s">
        <v>1</v>
      </c>
      <c r="D15" s="3" t="s">
        <v>15</v>
      </c>
      <c r="L15" s="2"/>
      <c r="M15" s="3"/>
    </row>
    <row r="16" spans="1:13">
      <c r="A16" t="s">
        <v>16</v>
      </c>
      <c r="B16" s="2">
        <f>D16+F16</f>
        <v>100</v>
      </c>
      <c r="C16" t="s">
        <v>17</v>
      </c>
      <c r="D16" s="4">
        <f>40</f>
        <v>40</v>
      </c>
      <c r="E16" t="s">
        <v>18</v>
      </c>
      <c r="F16" s="4">
        <v>60</v>
      </c>
      <c r="G16" t="s">
        <v>19</v>
      </c>
      <c r="L16" s="2"/>
      <c r="M16" s="3"/>
    </row>
    <row r="17" spans="1:32">
      <c r="A17" t="s">
        <v>20</v>
      </c>
      <c r="B17" s="8">
        <f>B16*B13</f>
        <v>5500</v>
      </c>
      <c r="C17" s="3" t="s">
        <v>57</v>
      </c>
      <c r="D17" s="3"/>
      <c r="L17" s="2"/>
      <c r="M17" s="3"/>
    </row>
    <row r="18" spans="1:32">
      <c r="A18" t="s">
        <v>21</v>
      </c>
      <c r="B18" s="2">
        <v>25</v>
      </c>
      <c r="C18" s="3" t="s">
        <v>22</v>
      </c>
      <c r="L18" s="2"/>
      <c r="M18" s="3"/>
    </row>
    <row r="19" spans="1:32">
      <c r="A19" t="s">
        <v>23</v>
      </c>
      <c r="B19" s="7">
        <v>2</v>
      </c>
      <c r="C19" s="3" t="s">
        <v>24</v>
      </c>
      <c r="L19" s="7"/>
      <c r="M19" s="3"/>
    </row>
    <row r="20" spans="1:32">
      <c r="A20" t="s">
        <v>25</v>
      </c>
      <c r="B20" s="4">
        <v>25000</v>
      </c>
      <c r="C20" s="3" t="s">
        <v>10</v>
      </c>
      <c r="L20" s="7"/>
      <c r="M20" s="3"/>
    </row>
    <row r="21" spans="1:32">
      <c r="A21" t="s">
        <v>69</v>
      </c>
      <c r="B21" s="4">
        <v>0</v>
      </c>
      <c r="C21" s="3" t="s">
        <v>68</v>
      </c>
      <c r="L21" s="7"/>
      <c r="M21" s="3"/>
    </row>
    <row r="22" spans="1:32">
      <c r="A22" t="s">
        <v>26</v>
      </c>
      <c r="B22" s="2">
        <f>-B33</f>
        <v>0</v>
      </c>
      <c r="C22" s="3" t="s">
        <v>27</v>
      </c>
      <c r="L22" s="2"/>
      <c r="M22" s="3"/>
    </row>
    <row r="23" spans="1:32">
      <c r="A23" t="s">
        <v>28</v>
      </c>
      <c r="B23" s="5">
        <v>0.04</v>
      </c>
      <c r="C23" s="3" t="s">
        <v>29</v>
      </c>
      <c r="L23" s="5"/>
      <c r="M23" s="3"/>
    </row>
    <row r="24" spans="1:32">
      <c r="A24" t="s">
        <v>30</v>
      </c>
      <c r="B24" s="6">
        <v>30</v>
      </c>
      <c r="C24" t="s">
        <v>59</v>
      </c>
      <c r="L24" s="7"/>
    </row>
    <row r="25" spans="1:32">
      <c r="A25" t="s">
        <v>31</v>
      </c>
      <c r="B25" s="5">
        <f>B23</f>
        <v>0.04</v>
      </c>
      <c r="C25" t="s">
        <v>32</v>
      </c>
      <c r="J25" t="s">
        <v>71</v>
      </c>
      <c r="L25" s="19">
        <v>0.25</v>
      </c>
    </row>
    <row r="26" spans="1:32">
      <c r="A26" t="s">
        <v>33</v>
      </c>
      <c r="B26" s="2">
        <f>SUM(B48:AF48)</f>
        <v>57932.220549695819</v>
      </c>
      <c r="L26" s="5"/>
    </row>
    <row r="27" spans="1:32">
      <c r="A27" t="s">
        <v>34</v>
      </c>
      <c r="B27" s="9">
        <f>0.5*-(B34+B35)</f>
        <v>55000</v>
      </c>
      <c r="C27" t="s">
        <v>67</v>
      </c>
      <c r="L27" s="5"/>
    </row>
    <row r="28" spans="1:32">
      <c r="L28" s="10"/>
    </row>
    <row r="29" spans="1:32">
      <c r="L29" s="2"/>
    </row>
    <row r="31" spans="1:32">
      <c r="A31" s="23"/>
      <c r="B31" s="20">
        <v>0</v>
      </c>
      <c r="C31" s="20">
        <v>1</v>
      </c>
      <c r="D31" s="20">
        <v>2</v>
      </c>
      <c r="E31" s="20">
        <v>3</v>
      </c>
      <c r="F31" s="20">
        <v>4</v>
      </c>
      <c r="G31" s="20">
        <v>5</v>
      </c>
      <c r="H31" s="20">
        <v>6</v>
      </c>
      <c r="I31" s="20">
        <v>7</v>
      </c>
      <c r="J31" s="20">
        <v>8</v>
      </c>
      <c r="K31" s="20">
        <v>9</v>
      </c>
      <c r="L31" s="20">
        <v>10</v>
      </c>
      <c r="M31" s="20">
        <v>11</v>
      </c>
      <c r="N31" s="20">
        <v>12</v>
      </c>
      <c r="O31" s="20">
        <v>13</v>
      </c>
      <c r="P31" s="20">
        <v>14</v>
      </c>
      <c r="Q31" s="20">
        <v>15</v>
      </c>
      <c r="R31" s="20">
        <v>16</v>
      </c>
      <c r="S31" s="20">
        <v>17</v>
      </c>
      <c r="T31" s="20">
        <v>18</v>
      </c>
      <c r="U31" s="20">
        <v>19</v>
      </c>
      <c r="V31" s="20">
        <v>20</v>
      </c>
      <c r="W31" s="20">
        <v>21</v>
      </c>
      <c r="X31" s="20">
        <v>22</v>
      </c>
      <c r="Y31" s="20">
        <v>23</v>
      </c>
      <c r="Z31" s="20">
        <v>24</v>
      </c>
      <c r="AA31" s="20">
        <v>25</v>
      </c>
      <c r="AB31" s="20">
        <v>26</v>
      </c>
      <c r="AC31" s="20">
        <v>27</v>
      </c>
      <c r="AD31" s="20">
        <v>28</v>
      </c>
      <c r="AE31" s="20">
        <v>29</v>
      </c>
      <c r="AF31" s="20">
        <v>30</v>
      </c>
    </row>
    <row r="32" spans="1:32">
      <c r="A32" s="12" t="s">
        <v>35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>
      <c r="A33" s="3" t="s">
        <v>36</v>
      </c>
      <c r="B33" s="7">
        <f>-B5*B13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>
      <c r="A34" s="3" t="s">
        <v>37</v>
      </c>
      <c r="B34" s="7">
        <f>-B6*B13</f>
        <v>-55000</v>
      </c>
      <c r="C34" s="7">
        <f>0.5*B34</f>
        <v>-27500</v>
      </c>
      <c r="D34" s="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f>0.75*B34</f>
        <v>-41250</v>
      </c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>
      <c r="A35" s="3" t="s">
        <v>38</v>
      </c>
      <c r="B35" s="7">
        <f>-B7*B13</f>
        <v>-55000</v>
      </c>
      <c r="C35" s="7">
        <f>0.75*B35</f>
        <v>-41250</v>
      </c>
      <c r="D35" s="7">
        <f>0.5*B35</f>
        <v>-27500</v>
      </c>
      <c r="E35" s="7">
        <f>0.25*B35</f>
        <v>-13750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>
        <f>0.5*B35</f>
        <v>-27500</v>
      </c>
      <c r="W35" s="7">
        <f>0.5*C35</f>
        <v>-20625</v>
      </c>
      <c r="X35" s="7"/>
      <c r="Y35" s="7"/>
      <c r="Z35" s="7"/>
      <c r="AA35" s="7"/>
      <c r="AB35" s="7"/>
      <c r="AC35" s="7"/>
      <c r="AD35" s="7"/>
      <c r="AE35" s="7"/>
      <c r="AF35" s="7"/>
    </row>
    <row r="36" spans="1:32">
      <c r="A36" s="3" t="s">
        <v>39</v>
      </c>
      <c r="B36" s="7">
        <f>-B27</f>
        <v>-55000</v>
      </c>
      <c r="C36" s="7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f>-B36</f>
        <v>55000</v>
      </c>
    </row>
    <row r="37" spans="1:32">
      <c r="A37" s="12" t="s">
        <v>40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>
      <c r="A38" s="3" t="s">
        <v>41</v>
      </c>
      <c r="B38" s="7"/>
      <c r="C38" s="7"/>
      <c r="D38" s="7"/>
      <c r="E38" s="7"/>
      <c r="F38" s="7"/>
      <c r="G38" s="7">
        <f>$B$17</f>
        <v>5500</v>
      </c>
      <c r="H38" s="7">
        <f>$B$17</f>
        <v>5500</v>
      </c>
      <c r="I38" s="7">
        <f t="shared" ref="I38:AF38" si="0">$B$17</f>
        <v>5500</v>
      </c>
      <c r="J38" s="7">
        <f t="shared" si="0"/>
        <v>5500</v>
      </c>
      <c r="K38" s="7">
        <f t="shared" si="0"/>
        <v>5500</v>
      </c>
      <c r="L38" s="7">
        <f t="shared" si="0"/>
        <v>5500</v>
      </c>
      <c r="M38" s="7">
        <f t="shared" si="0"/>
        <v>5500</v>
      </c>
      <c r="N38" s="7">
        <f t="shared" si="0"/>
        <v>5500</v>
      </c>
      <c r="O38" s="7">
        <f t="shared" si="0"/>
        <v>5500</v>
      </c>
      <c r="P38" s="7">
        <f t="shared" si="0"/>
        <v>5500</v>
      </c>
      <c r="Q38" s="7">
        <f t="shared" si="0"/>
        <v>5500</v>
      </c>
      <c r="R38" s="7">
        <f t="shared" si="0"/>
        <v>5500</v>
      </c>
      <c r="S38" s="7">
        <f t="shared" si="0"/>
        <v>5500</v>
      </c>
      <c r="T38" s="7">
        <f t="shared" si="0"/>
        <v>5500</v>
      </c>
      <c r="U38" s="7">
        <f t="shared" si="0"/>
        <v>5500</v>
      </c>
      <c r="V38" s="7">
        <f t="shared" si="0"/>
        <v>5500</v>
      </c>
      <c r="W38" s="7">
        <f t="shared" si="0"/>
        <v>5500</v>
      </c>
      <c r="X38" s="7">
        <f t="shared" si="0"/>
        <v>5500</v>
      </c>
      <c r="Y38" s="7">
        <f t="shared" si="0"/>
        <v>5500</v>
      </c>
      <c r="Z38" s="7">
        <f t="shared" si="0"/>
        <v>5500</v>
      </c>
      <c r="AA38" s="7">
        <f t="shared" si="0"/>
        <v>5500</v>
      </c>
      <c r="AB38" s="7">
        <f t="shared" si="0"/>
        <v>5500</v>
      </c>
      <c r="AC38" s="7">
        <f t="shared" si="0"/>
        <v>5500</v>
      </c>
      <c r="AD38" s="7">
        <f t="shared" si="0"/>
        <v>5500</v>
      </c>
      <c r="AE38" s="7">
        <f t="shared" si="0"/>
        <v>5500</v>
      </c>
      <c r="AF38" s="7">
        <f t="shared" si="0"/>
        <v>5500</v>
      </c>
    </row>
    <row r="39" spans="1:32">
      <c r="A39" s="3" t="s">
        <v>42</v>
      </c>
      <c r="B39" s="7"/>
      <c r="C39" s="7"/>
      <c r="D39" s="7"/>
      <c r="E39" s="7"/>
      <c r="F39" s="7"/>
      <c r="G39" s="7">
        <f t="shared" ref="G39:V39" si="1">$B$10*$B$13*$B$14*(1+$B$11)^(G31-5)</f>
        <v>38500</v>
      </c>
      <c r="H39" s="7">
        <f t="shared" si="1"/>
        <v>40040</v>
      </c>
      <c r="I39" s="7">
        <f t="shared" si="1"/>
        <v>41641.600000000006</v>
      </c>
      <c r="J39" s="7">
        <f t="shared" si="1"/>
        <v>43307.264000000003</v>
      </c>
      <c r="K39" s="7">
        <f t="shared" si="1"/>
        <v>45039.554560000011</v>
      </c>
      <c r="L39" s="7">
        <f t="shared" si="1"/>
        <v>46841.136742400013</v>
      </c>
      <c r="M39" s="7">
        <f t="shared" si="1"/>
        <v>48714.782212096012</v>
      </c>
      <c r="N39" s="7">
        <f t="shared" si="1"/>
        <v>50663.373500579852</v>
      </c>
      <c r="O39" s="7">
        <f t="shared" si="1"/>
        <v>52689.908440603052</v>
      </c>
      <c r="P39" s="7">
        <f t="shared" si="1"/>
        <v>54797.504778227179</v>
      </c>
      <c r="Q39" s="7">
        <f t="shared" si="1"/>
        <v>56989.40496935627</v>
      </c>
      <c r="R39" s="7">
        <f t="shared" si="1"/>
        <v>59268.981168130515</v>
      </c>
      <c r="S39" s="7">
        <f t="shared" si="1"/>
        <v>61639.740414855747</v>
      </c>
      <c r="T39" s="7">
        <f t="shared" si="1"/>
        <v>64105.330031449979</v>
      </c>
      <c r="U39" s="7">
        <f t="shared" si="1"/>
        <v>66669.543232707976</v>
      </c>
      <c r="V39" s="7">
        <f t="shared" si="1"/>
        <v>69336.324962016297</v>
      </c>
      <c r="W39" s="7">
        <f>V39</f>
        <v>69336.324962016297</v>
      </c>
      <c r="X39" s="7">
        <f t="shared" ref="X39:AF39" si="2">W39</f>
        <v>69336.324962016297</v>
      </c>
      <c r="Y39" s="7">
        <f t="shared" si="2"/>
        <v>69336.324962016297</v>
      </c>
      <c r="Z39" s="7">
        <f t="shared" si="2"/>
        <v>69336.324962016297</v>
      </c>
      <c r="AA39" s="7">
        <f t="shared" si="2"/>
        <v>69336.324962016297</v>
      </c>
      <c r="AB39" s="7">
        <f t="shared" si="2"/>
        <v>69336.324962016297</v>
      </c>
      <c r="AC39" s="7">
        <f t="shared" si="2"/>
        <v>69336.324962016297</v>
      </c>
      <c r="AD39" s="7">
        <f t="shared" si="2"/>
        <v>69336.324962016297</v>
      </c>
      <c r="AE39" s="7">
        <f t="shared" si="2"/>
        <v>69336.324962016297</v>
      </c>
      <c r="AF39" s="7">
        <f t="shared" si="2"/>
        <v>69336.324962016297</v>
      </c>
    </row>
    <row r="40" spans="1:32">
      <c r="A40" s="3" t="s">
        <v>60</v>
      </c>
      <c r="B40" s="7"/>
      <c r="C40" s="7"/>
      <c r="D40" s="7"/>
      <c r="E40" s="7"/>
      <c r="F40" s="7"/>
      <c r="G40" s="7">
        <f>$B$12*G39</f>
        <v>3850</v>
      </c>
      <c r="H40" s="7">
        <f t="shared" ref="H40:AF40" si="3">$B$12*H39</f>
        <v>4004</v>
      </c>
      <c r="I40" s="7">
        <f t="shared" si="3"/>
        <v>4164.1600000000008</v>
      </c>
      <c r="J40" s="7">
        <f t="shared" si="3"/>
        <v>4330.7264000000005</v>
      </c>
      <c r="K40" s="7">
        <f t="shared" si="3"/>
        <v>4503.9554560000015</v>
      </c>
      <c r="L40" s="7">
        <f t="shared" si="3"/>
        <v>4684.1136742400013</v>
      </c>
      <c r="M40" s="7">
        <f t="shared" si="3"/>
        <v>4871.4782212096015</v>
      </c>
      <c r="N40" s="7">
        <f t="shared" si="3"/>
        <v>5066.3373500579855</v>
      </c>
      <c r="O40" s="7">
        <f t="shared" si="3"/>
        <v>5268.9908440603058</v>
      </c>
      <c r="P40" s="7">
        <f t="shared" si="3"/>
        <v>5479.7504778227185</v>
      </c>
      <c r="Q40" s="7">
        <f t="shared" si="3"/>
        <v>5698.9404969356274</v>
      </c>
      <c r="R40" s="7">
        <f t="shared" si="3"/>
        <v>5926.8981168130522</v>
      </c>
      <c r="S40" s="7">
        <f t="shared" si="3"/>
        <v>6163.9740414855751</v>
      </c>
      <c r="T40" s="7">
        <f t="shared" si="3"/>
        <v>6410.5330031449985</v>
      </c>
      <c r="U40" s="7">
        <f t="shared" si="3"/>
        <v>6666.9543232707983</v>
      </c>
      <c r="V40" s="7">
        <f t="shared" si="3"/>
        <v>6933.6324962016297</v>
      </c>
      <c r="W40" s="7">
        <f t="shared" si="3"/>
        <v>6933.6324962016297</v>
      </c>
      <c r="X40" s="7">
        <f t="shared" si="3"/>
        <v>6933.6324962016297</v>
      </c>
      <c r="Y40" s="7">
        <f t="shared" si="3"/>
        <v>6933.6324962016297</v>
      </c>
      <c r="Z40" s="7">
        <f t="shared" si="3"/>
        <v>6933.6324962016297</v>
      </c>
      <c r="AA40" s="7">
        <f t="shared" si="3"/>
        <v>6933.6324962016297</v>
      </c>
      <c r="AB40" s="7">
        <f t="shared" si="3"/>
        <v>6933.6324962016297</v>
      </c>
      <c r="AC40" s="7">
        <f t="shared" si="3"/>
        <v>6933.6324962016297</v>
      </c>
      <c r="AD40" s="7">
        <f t="shared" si="3"/>
        <v>6933.6324962016297</v>
      </c>
      <c r="AE40" s="7">
        <f t="shared" si="3"/>
        <v>6933.6324962016297</v>
      </c>
      <c r="AF40" s="7">
        <f t="shared" si="3"/>
        <v>6933.6324962016297</v>
      </c>
    </row>
    <row r="41" spans="1:32">
      <c r="A41" s="3" t="s">
        <v>43</v>
      </c>
      <c r="B41" s="7"/>
      <c r="C41" s="7"/>
      <c r="D41" s="7"/>
      <c r="E41" s="7"/>
      <c r="F41" s="7"/>
      <c r="G41" s="7">
        <f>$B$18*$B$19*$B$13*$E$14*(1-$B$14)</f>
        <v>247.50000000000006</v>
      </c>
      <c r="H41" s="7">
        <f>$B$18*$B$19*$B$13*$E$14*(1-$B$14)</f>
        <v>247.50000000000006</v>
      </c>
      <c r="I41" s="7">
        <f>H41</f>
        <v>247.50000000000006</v>
      </c>
      <c r="J41" s="7">
        <f t="shared" ref="J41:AF41" si="4">I41</f>
        <v>247.50000000000006</v>
      </c>
      <c r="K41" s="7">
        <f t="shared" si="4"/>
        <v>247.50000000000006</v>
      </c>
      <c r="L41" s="7">
        <f t="shared" si="4"/>
        <v>247.50000000000006</v>
      </c>
      <c r="M41" s="7">
        <f t="shared" si="4"/>
        <v>247.50000000000006</v>
      </c>
      <c r="N41" s="7">
        <f t="shared" si="4"/>
        <v>247.50000000000006</v>
      </c>
      <c r="O41" s="7">
        <f t="shared" si="4"/>
        <v>247.50000000000006</v>
      </c>
      <c r="P41" s="7">
        <f t="shared" si="4"/>
        <v>247.50000000000006</v>
      </c>
      <c r="Q41" s="7">
        <f t="shared" si="4"/>
        <v>247.50000000000006</v>
      </c>
      <c r="R41" s="7">
        <f t="shared" si="4"/>
        <v>247.50000000000006</v>
      </c>
      <c r="S41" s="7">
        <f t="shared" si="4"/>
        <v>247.50000000000006</v>
      </c>
      <c r="T41" s="7">
        <f t="shared" si="4"/>
        <v>247.50000000000006</v>
      </c>
      <c r="U41" s="7">
        <f t="shared" si="4"/>
        <v>247.50000000000006</v>
      </c>
      <c r="V41" s="7">
        <f t="shared" si="4"/>
        <v>247.50000000000006</v>
      </c>
      <c r="W41" s="7">
        <f t="shared" si="4"/>
        <v>247.50000000000006</v>
      </c>
      <c r="X41" s="7">
        <f t="shared" si="4"/>
        <v>247.50000000000006</v>
      </c>
      <c r="Y41" s="7">
        <f t="shared" si="4"/>
        <v>247.50000000000006</v>
      </c>
      <c r="Z41" s="7">
        <f t="shared" si="4"/>
        <v>247.50000000000006</v>
      </c>
      <c r="AA41" s="7">
        <f t="shared" si="4"/>
        <v>247.50000000000006</v>
      </c>
      <c r="AB41" s="7">
        <f t="shared" si="4"/>
        <v>247.50000000000006</v>
      </c>
      <c r="AC41" s="7">
        <f t="shared" si="4"/>
        <v>247.50000000000006</v>
      </c>
      <c r="AD41" s="7">
        <f t="shared" si="4"/>
        <v>247.50000000000006</v>
      </c>
      <c r="AE41" s="7">
        <f t="shared" si="4"/>
        <v>247.50000000000006</v>
      </c>
      <c r="AF41" s="7">
        <f t="shared" si="4"/>
        <v>247.50000000000006</v>
      </c>
    </row>
    <row r="42" spans="1:32">
      <c r="A42" s="3" t="s">
        <v>44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>
      <c r="A43" s="3" t="s">
        <v>45</v>
      </c>
      <c r="B43" s="7">
        <f>-$B$20</f>
        <v>-25000</v>
      </c>
      <c r="C43" s="7">
        <f>-$B$20</f>
        <v>-25000</v>
      </c>
      <c r="D43" s="7">
        <f t="shared" ref="D43:AF43" si="5">-$B$20</f>
        <v>-25000</v>
      </c>
      <c r="E43" s="7">
        <f t="shared" si="5"/>
        <v>-25000</v>
      </c>
      <c r="F43" s="7">
        <f t="shared" si="5"/>
        <v>-25000</v>
      </c>
      <c r="G43" s="7">
        <f t="shared" si="5"/>
        <v>-25000</v>
      </c>
      <c r="H43" s="7">
        <f t="shared" si="5"/>
        <v>-25000</v>
      </c>
      <c r="I43" s="7">
        <f t="shared" si="5"/>
        <v>-25000</v>
      </c>
      <c r="J43" s="7">
        <f t="shared" si="5"/>
        <v>-25000</v>
      </c>
      <c r="K43" s="7">
        <f t="shared" si="5"/>
        <v>-25000</v>
      </c>
      <c r="L43" s="7">
        <f t="shared" si="5"/>
        <v>-25000</v>
      </c>
      <c r="M43" s="7">
        <f t="shared" si="5"/>
        <v>-25000</v>
      </c>
      <c r="N43" s="7">
        <f t="shared" si="5"/>
        <v>-25000</v>
      </c>
      <c r="O43" s="7">
        <f t="shared" si="5"/>
        <v>-25000</v>
      </c>
      <c r="P43" s="7">
        <f t="shared" si="5"/>
        <v>-25000</v>
      </c>
      <c r="Q43" s="7">
        <f t="shared" si="5"/>
        <v>-25000</v>
      </c>
      <c r="R43" s="7">
        <f t="shared" si="5"/>
        <v>-25000</v>
      </c>
      <c r="S43" s="7">
        <f t="shared" si="5"/>
        <v>-25000</v>
      </c>
      <c r="T43" s="7">
        <f t="shared" si="5"/>
        <v>-25000</v>
      </c>
      <c r="U43" s="7">
        <f t="shared" si="5"/>
        <v>-25000</v>
      </c>
      <c r="V43" s="7">
        <f t="shared" si="5"/>
        <v>-25000</v>
      </c>
      <c r="W43" s="7">
        <f t="shared" si="5"/>
        <v>-25000</v>
      </c>
      <c r="X43" s="7">
        <f t="shared" si="5"/>
        <v>-25000</v>
      </c>
      <c r="Y43" s="7">
        <f t="shared" si="5"/>
        <v>-25000</v>
      </c>
      <c r="Z43" s="7">
        <f t="shared" si="5"/>
        <v>-25000</v>
      </c>
      <c r="AA43" s="7">
        <f t="shared" si="5"/>
        <v>-25000</v>
      </c>
      <c r="AB43" s="7">
        <f t="shared" si="5"/>
        <v>-25000</v>
      </c>
      <c r="AC43" s="7">
        <f t="shared" si="5"/>
        <v>-25000</v>
      </c>
      <c r="AD43" s="7">
        <f t="shared" si="5"/>
        <v>-25000</v>
      </c>
      <c r="AE43" s="7">
        <f t="shared" si="5"/>
        <v>-25000</v>
      </c>
      <c r="AF43" s="7">
        <f t="shared" si="5"/>
        <v>-25000</v>
      </c>
    </row>
    <row r="44" spans="1:32">
      <c r="A44" s="31" t="s">
        <v>72</v>
      </c>
      <c r="B44" s="35">
        <f t="shared" ref="B44:G44" si="6">B54</f>
        <v>0</v>
      </c>
      <c r="C44" s="35">
        <f t="shared" si="6"/>
        <v>0</v>
      </c>
      <c r="D44" s="35">
        <f t="shared" si="6"/>
        <v>0</v>
      </c>
      <c r="E44" s="35">
        <f t="shared" si="6"/>
        <v>0</v>
      </c>
      <c r="F44" s="35">
        <f t="shared" si="6"/>
        <v>0</v>
      </c>
      <c r="G44" s="35">
        <f t="shared" si="6"/>
        <v>0</v>
      </c>
      <c r="H44" s="37">
        <v>-16000</v>
      </c>
      <c r="I44" s="35">
        <f t="shared" ref="I44:AF44" si="7">I54</f>
        <v>-15356.255000000001</v>
      </c>
      <c r="J44" s="35">
        <f t="shared" si="7"/>
        <v>-14816.255000000001</v>
      </c>
      <c r="K44" s="35">
        <f t="shared" si="7"/>
        <v>-14276.255000000001</v>
      </c>
      <c r="L44" s="35">
        <f t="shared" si="7"/>
        <v>-13736.255000000001</v>
      </c>
      <c r="M44" s="35">
        <f t="shared" si="7"/>
        <v>-13196.255000000001</v>
      </c>
      <c r="N44" s="35">
        <f t="shared" si="7"/>
        <v>-12656.255000000001</v>
      </c>
      <c r="O44" s="35">
        <f t="shared" si="7"/>
        <v>-12116.255000000001</v>
      </c>
      <c r="P44" s="35">
        <f t="shared" si="7"/>
        <v>-11576.255000000001</v>
      </c>
      <c r="Q44" s="35">
        <f t="shared" si="7"/>
        <v>-11036.255000000001</v>
      </c>
      <c r="R44" s="35">
        <f t="shared" si="7"/>
        <v>-10496.255000000001</v>
      </c>
      <c r="S44" s="35">
        <f t="shared" si="7"/>
        <v>-9956.255000000001</v>
      </c>
      <c r="T44" s="35">
        <f t="shared" si="7"/>
        <v>-9416.255000000001</v>
      </c>
      <c r="U44" s="35">
        <f t="shared" si="7"/>
        <v>-8876.255000000001</v>
      </c>
      <c r="V44" s="35">
        <f t="shared" si="7"/>
        <v>-8336.255000000001</v>
      </c>
      <c r="W44" s="35">
        <f t="shared" si="7"/>
        <v>-7796.2550000000001</v>
      </c>
      <c r="X44" s="35">
        <f t="shared" si="7"/>
        <v>-7256.2550000000001</v>
      </c>
      <c r="Y44" s="35">
        <f t="shared" si="7"/>
        <v>-6716.2550000000001</v>
      </c>
      <c r="Z44" s="35">
        <f t="shared" si="7"/>
        <v>-6176.2550000000001</v>
      </c>
      <c r="AA44" s="35">
        <f t="shared" si="7"/>
        <v>-5636.2550000000001</v>
      </c>
      <c r="AB44" s="35">
        <f t="shared" si="7"/>
        <v>-5096.2550000000001</v>
      </c>
      <c r="AC44" s="35">
        <f t="shared" si="7"/>
        <v>-4556.2550000000001</v>
      </c>
      <c r="AD44" s="35">
        <f t="shared" si="7"/>
        <v>-4016.2550000000001</v>
      </c>
      <c r="AE44" s="35">
        <f t="shared" si="7"/>
        <v>-3476.2550000000001</v>
      </c>
      <c r="AF44" s="35">
        <f t="shared" si="7"/>
        <v>-2936.2550000000001</v>
      </c>
    </row>
    <row r="45" spans="1:32">
      <c r="A45" s="32" t="s">
        <v>46</v>
      </c>
      <c r="B45" s="33"/>
      <c r="C45" s="33">
        <f>IF(SUM(C38:C44)&gt;0,-$L$25*SUM(C38:C43),0)</f>
        <v>0</v>
      </c>
      <c r="D45" s="33">
        <f t="shared" ref="D45:G45" si="8">IF(SUM(D38:D44)&gt;0,-$L$25*SUM(D38:D43),0)</f>
        <v>0</v>
      </c>
      <c r="E45" s="33">
        <f t="shared" si="8"/>
        <v>0</v>
      </c>
      <c r="F45" s="33">
        <f t="shared" si="8"/>
        <v>0</v>
      </c>
      <c r="G45" s="33">
        <f t="shared" si="8"/>
        <v>-5774.375</v>
      </c>
      <c r="H45" s="33">
        <f t="shared" ref="H45:AF45" si="9">IF(SUM(H38:H44)&gt;0,-$L$25*SUM(H38:H44),0)</f>
        <v>-2197.875</v>
      </c>
      <c r="I45" s="33">
        <f t="shared" si="9"/>
        <v>-2799.2512500000021</v>
      </c>
      <c r="J45" s="33">
        <f t="shared" si="9"/>
        <v>-3392.3088500000003</v>
      </c>
      <c r="K45" s="33">
        <f t="shared" si="9"/>
        <v>-4003.6887540000034</v>
      </c>
      <c r="L45" s="33">
        <f t="shared" si="9"/>
        <v>-4634.1238541600042</v>
      </c>
      <c r="M45" s="33">
        <f t="shared" si="9"/>
        <v>-5284.3763583264035</v>
      </c>
      <c r="N45" s="33">
        <f t="shared" si="9"/>
        <v>-5955.2389626594586</v>
      </c>
      <c r="O45" s="33">
        <f t="shared" si="9"/>
        <v>-6647.5360711658386</v>
      </c>
      <c r="P45" s="33">
        <f t="shared" si="9"/>
        <v>-7362.1250640124754</v>
      </c>
      <c r="Q45" s="33">
        <f t="shared" si="9"/>
        <v>-8099.8976165729737</v>
      </c>
      <c r="R45" s="33">
        <f t="shared" si="9"/>
        <v>-8861.7810712358914</v>
      </c>
      <c r="S45" s="33">
        <f t="shared" si="9"/>
        <v>-9648.739864085328</v>
      </c>
      <c r="T45" s="33">
        <f t="shared" si="9"/>
        <v>-10461.777008648744</v>
      </c>
      <c r="U45" s="33">
        <f t="shared" si="9"/>
        <v>-11301.935638994692</v>
      </c>
      <c r="V45" s="33">
        <f t="shared" si="9"/>
        <v>-12170.300614554479</v>
      </c>
      <c r="W45" s="33">
        <f t="shared" si="9"/>
        <v>-12305.30061455448</v>
      </c>
      <c r="X45" s="33">
        <f t="shared" si="9"/>
        <v>-12440.30061455448</v>
      </c>
      <c r="Y45" s="33">
        <f t="shared" si="9"/>
        <v>-12575.30061455448</v>
      </c>
      <c r="Z45" s="33">
        <f t="shared" si="9"/>
        <v>-12710.30061455448</v>
      </c>
      <c r="AA45" s="33">
        <f t="shared" si="9"/>
        <v>-12845.30061455448</v>
      </c>
      <c r="AB45" s="33">
        <f t="shared" si="9"/>
        <v>-12980.30061455448</v>
      </c>
      <c r="AC45" s="33">
        <f t="shared" si="9"/>
        <v>-13115.30061455448</v>
      </c>
      <c r="AD45" s="33">
        <f t="shared" si="9"/>
        <v>-13250.30061455448</v>
      </c>
      <c r="AE45" s="33">
        <f t="shared" si="9"/>
        <v>-13385.30061455448</v>
      </c>
      <c r="AF45" s="33">
        <f t="shared" si="9"/>
        <v>-13520.30061455448</v>
      </c>
    </row>
    <row r="46" spans="1:32" s="29" customFormat="1">
      <c r="A46" s="34" t="s">
        <v>73</v>
      </c>
      <c r="B46" s="36">
        <f>-B44</f>
        <v>0</v>
      </c>
      <c r="C46" s="36">
        <f t="shared" ref="C46:AF46" si="10">-C44</f>
        <v>0</v>
      </c>
      <c r="D46" s="36">
        <f t="shared" si="10"/>
        <v>0</v>
      </c>
      <c r="E46" s="36">
        <f t="shared" si="10"/>
        <v>0</v>
      </c>
      <c r="F46" s="36">
        <f t="shared" si="10"/>
        <v>0</v>
      </c>
      <c r="G46" s="36">
        <f t="shared" si="10"/>
        <v>0</v>
      </c>
      <c r="H46" s="36">
        <f t="shared" si="10"/>
        <v>16000</v>
      </c>
      <c r="I46" s="36">
        <f t="shared" si="10"/>
        <v>15356.255000000001</v>
      </c>
      <c r="J46" s="36">
        <f t="shared" si="10"/>
        <v>14816.255000000001</v>
      </c>
      <c r="K46" s="36">
        <f t="shared" si="10"/>
        <v>14276.255000000001</v>
      </c>
      <c r="L46" s="36">
        <f t="shared" si="10"/>
        <v>13736.255000000001</v>
      </c>
      <c r="M46" s="36">
        <f t="shared" si="10"/>
        <v>13196.255000000001</v>
      </c>
      <c r="N46" s="36">
        <f t="shared" si="10"/>
        <v>12656.255000000001</v>
      </c>
      <c r="O46" s="36">
        <f t="shared" si="10"/>
        <v>12116.255000000001</v>
      </c>
      <c r="P46" s="36">
        <f t="shared" si="10"/>
        <v>11576.255000000001</v>
      </c>
      <c r="Q46" s="36">
        <f t="shared" si="10"/>
        <v>11036.255000000001</v>
      </c>
      <c r="R46" s="36">
        <f t="shared" si="10"/>
        <v>10496.255000000001</v>
      </c>
      <c r="S46" s="36">
        <f t="shared" si="10"/>
        <v>9956.255000000001</v>
      </c>
      <c r="T46" s="36">
        <f t="shared" si="10"/>
        <v>9416.255000000001</v>
      </c>
      <c r="U46" s="36">
        <f t="shared" si="10"/>
        <v>8876.255000000001</v>
      </c>
      <c r="V46" s="36">
        <f t="shared" si="10"/>
        <v>8336.255000000001</v>
      </c>
      <c r="W46" s="36">
        <f t="shared" si="10"/>
        <v>7796.2550000000001</v>
      </c>
      <c r="X46" s="36">
        <f t="shared" si="10"/>
        <v>7256.2550000000001</v>
      </c>
      <c r="Y46" s="36">
        <f t="shared" si="10"/>
        <v>6716.2550000000001</v>
      </c>
      <c r="Z46" s="36">
        <f t="shared" si="10"/>
        <v>6176.2550000000001</v>
      </c>
      <c r="AA46" s="36">
        <f t="shared" si="10"/>
        <v>5636.2550000000001</v>
      </c>
      <c r="AB46" s="36">
        <f t="shared" si="10"/>
        <v>5096.2550000000001</v>
      </c>
      <c r="AC46" s="36">
        <f t="shared" si="10"/>
        <v>4556.2550000000001</v>
      </c>
      <c r="AD46" s="36">
        <f t="shared" si="10"/>
        <v>4016.2550000000001</v>
      </c>
      <c r="AE46" s="36">
        <f t="shared" si="10"/>
        <v>3476.2550000000001</v>
      </c>
      <c r="AF46" s="36">
        <f t="shared" si="10"/>
        <v>2936.2550000000001</v>
      </c>
    </row>
    <row r="47" spans="1:32">
      <c r="A47" t="s">
        <v>47</v>
      </c>
      <c r="B47" s="7">
        <f>SUM(B33:B46)</f>
        <v>-190000</v>
      </c>
      <c r="C47" s="7">
        <f t="shared" ref="C47:AF47" si="11">SUM(C33:C46)</f>
        <v>-93750</v>
      </c>
      <c r="D47" s="7">
        <f t="shared" si="11"/>
        <v>-52500</v>
      </c>
      <c r="E47" s="7">
        <f t="shared" si="11"/>
        <v>-38750</v>
      </c>
      <c r="F47" s="7">
        <f t="shared" si="11"/>
        <v>-25000</v>
      </c>
      <c r="G47" s="7">
        <f t="shared" si="11"/>
        <v>17323.125</v>
      </c>
      <c r="H47" s="7">
        <f t="shared" si="11"/>
        <v>22593.625</v>
      </c>
      <c r="I47" s="7">
        <f t="shared" si="11"/>
        <v>23754.008750000008</v>
      </c>
      <c r="J47" s="7">
        <f t="shared" si="11"/>
        <v>24993.181550000001</v>
      </c>
      <c r="K47" s="7">
        <f t="shared" si="11"/>
        <v>26287.321262000012</v>
      </c>
      <c r="L47" s="7">
        <f t="shared" si="11"/>
        <v>27638.626562480014</v>
      </c>
      <c r="M47" s="7">
        <f t="shared" si="11"/>
        <v>29049.384074979211</v>
      </c>
      <c r="N47" s="7">
        <f t="shared" si="11"/>
        <v>30521.971887978376</v>
      </c>
      <c r="O47" s="7">
        <f t="shared" si="11"/>
        <v>32058.863213497516</v>
      </c>
      <c r="P47" s="7">
        <f t="shared" si="11"/>
        <v>33662.630192037424</v>
      </c>
      <c r="Q47" s="7">
        <f t="shared" si="11"/>
        <v>35335.947849718927</v>
      </c>
      <c r="R47" s="7">
        <f t="shared" si="11"/>
        <v>37081.598213707679</v>
      </c>
      <c r="S47" s="7">
        <f t="shared" si="11"/>
        <v>38902.474592255981</v>
      </c>
      <c r="T47" s="7">
        <f t="shared" si="11"/>
        <v>40801.586025946235</v>
      </c>
      <c r="U47" s="7">
        <f t="shared" si="11"/>
        <v>42782.061916984079</v>
      </c>
      <c r="V47" s="7">
        <f t="shared" si="11"/>
        <v>-23902.843156336552</v>
      </c>
      <c r="W47" s="7">
        <f t="shared" si="11"/>
        <v>24087.156843663444</v>
      </c>
      <c r="X47" s="7">
        <f t="shared" si="11"/>
        <v>44577.156843663441</v>
      </c>
      <c r="Y47" s="7">
        <f t="shared" si="11"/>
        <v>44442.156843663441</v>
      </c>
      <c r="Z47" s="7">
        <f t="shared" si="11"/>
        <v>44307.156843663441</v>
      </c>
      <c r="AA47" s="7">
        <f t="shared" si="11"/>
        <v>44172.156843663441</v>
      </c>
      <c r="AB47" s="7">
        <f t="shared" si="11"/>
        <v>44037.156843663441</v>
      </c>
      <c r="AC47" s="7">
        <f t="shared" si="11"/>
        <v>43902.156843663441</v>
      </c>
      <c r="AD47" s="7">
        <f t="shared" si="11"/>
        <v>43767.156843663441</v>
      </c>
      <c r="AE47" s="7">
        <f t="shared" si="11"/>
        <v>43632.156843663441</v>
      </c>
      <c r="AF47" s="7">
        <f t="shared" si="11"/>
        <v>98497.156843663441</v>
      </c>
    </row>
    <row r="48" spans="1:32">
      <c r="A48" s="29" t="s">
        <v>48</v>
      </c>
      <c r="B48" s="21">
        <f t="shared" ref="B48:AF48" si="12">B47/(1+$B$25)^B31</f>
        <v>-190000</v>
      </c>
      <c r="C48" s="21">
        <f t="shared" si="12"/>
        <v>-90144.230769230766</v>
      </c>
      <c r="D48" s="21">
        <f t="shared" si="12"/>
        <v>-48539.201183431949</v>
      </c>
      <c r="E48" s="21">
        <f t="shared" si="12"/>
        <v>-34448.608898497951</v>
      </c>
      <c r="F48" s="21">
        <f t="shared" si="12"/>
        <v>-21370.104775743141</v>
      </c>
      <c r="G48" s="21">
        <f t="shared" si="12"/>
        <v>14238.346011280591</v>
      </c>
      <c r="H48" s="21">
        <f t="shared" si="12"/>
        <v>17856.070026399764</v>
      </c>
      <c r="I48" s="21">
        <f t="shared" si="12"/>
        <v>18051.094384082684</v>
      </c>
      <c r="J48" s="21">
        <f t="shared" si="12"/>
        <v>18262.272950421298</v>
      </c>
      <c r="K48" s="21">
        <f t="shared" si="12"/>
        <v>18469.123232580572</v>
      </c>
      <c r="L48" s="21">
        <f t="shared" si="12"/>
        <v>18671.665781168449</v>
      </c>
      <c r="M48" s="21">
        <f t="shared" si="12"/>
        <v>18869.925968764153</v>
      </c>
      <c r="N48" s="21">
        <f t="shared" si="12"/>
        <v>19063.933588596985</v>
      </c>
      <c r="O48" s="21">
        <f t="shared" si="12"/>
        <v>19253.722476962917</v>
      </c>
      <c r="P48" s="21">
        <f t="shared" si="12"/>
        <v>19439.330158146633</v>
      </c>
      <c r="Q48" s="21">
        <f t="shared" si="12"/>
        <v>19620.797510676392</v>
      </c>
      <c r="R48" s="21">
        <f t="shared" si="12"/>
        <v>19798.16845379601</v>
      </c>
      <c r="S48" s="21">
        <f t="shared" si="12"/>
        <v>19971.489653092474</v>
      </c>
      <c r="T48" s="21">
        <f t="shared" si="12"/>
        <v>20140.810244269469</v>
      </c>
      <c r="U48" s="21">
        <f t="shared" si="12"/>
        <v>20306.181574106438</v>
      </c>
      <c r="V48" s="21">
        <f t="shared" si="12"/>
        <v>-10908.945593648892</v>
      </c>
      <c r="W48" s="21">
        <f t="shared" si="12"/>
        <v>10570.253802452989</v>
      </c>
      <c r="X48" s="21">
        <f t="shared" si="12"/>
        <v>18809.57145175257</v>
      </c>
      <c r="Y48" s="21">
        <f t="shared" si="12"/>
        <v>18031.35334091802</v>
      </c>
      <c r="Z48" s="21">
        <f t="shared" si="12"/>
        <v>17285.173351846253</v>
      </c>
      <c r="AA48" s="21">
        <f t="shared" si="12"/>
        <v>16569.718223855572</v>
      </c>
      <c r="AB48" s="21">
        <f t="shared" si="12"/>
        <v>15883.728322645469</v>
      </c>
      <c r="AC48" s="21">
        <f t="shared" si="12"/>
        <v>15225.995457883693</v>
      </c>
      <c r="AD48" s="21">
        <f t="shared" si="12"/>
        <v>14595.36078934228</v>
      </c>
      <c r="AE48" s="21">
        <f t="shared" si="12"/>
        <v>13990.712817999492</v>
      </c>
      <c r="AF48" s="21">
        <f t="shared" si="12"/>
        <v>30368.512197207372</v>
      </c>
    </row>
    <row r="49" spans="1:3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>
      <c r="A50" s="22" t="s">
        <v>49</v>
      </c>
      <c r="B50" s="20">
        <f t="shared" ref="B50:AF50" si="13">B31</f>
        <v>0</v>
      </c>
      <c r="C50" s="20">
        <f t="shared" si="13"/>
        <v>1</v>
      </c>
      <c r="D50" s="20">
        <f t="shared" si="13"/>
        <v>2</v>
      </c>
      <c r="E50" s="20">
        <f t="shared" si="13"/>
        <v>3</v>
      </c>
      <c r="F50" s="20">
        <f t="shared" si="13"/>
        <v>4</v>
      </c>
      <c r="G50" s="20">
        <f t="shared" si="13"/>
        <v>5</v>
      </c>
      <c r="H50" s="20">
        <f t="shared" si="13"/>
        <v>6</v>
      </c>
      <c r="I50" s="20">
        <f t="shared" si="13"/>
        <v>7</v>
      </c>
      <c r="J50" s="20">
        <f t="shared" si="13"/>
        <v>8</v>
      </c>
      <c r="K50" s="20">
        <f t="shared" si="13"/>
        <v>9</v>
      </c>
      <c r="L50" s="20">
        <f t="shared" si="13"/>
        <v>10</v>
      </c>
      <c r="M50" s="20">
        <f t="shared" si="13"/>
        <v>11</v>
      </c>
      <c r="N50" s="20">
        <f t="shared" si="13"/>
        <v>12</v>
      </c>
      <c r="O50" s="20">
        <f t="shared" si="13"/>
        <v>13</v>
      </c>
      <c r="P50" s="20">
        <f t="shared" si="13"/>
        <v>14</v>
      </c>
      <c r="Q50" s="20">
        <f t="shared" si="13"/>
        <v>15</v>
      </c>
      <c r="R50" s="20">
        <f t="shared" si="13"/>
        <v>16</v>
      </c>
      <c r="S50" s="20">
        <f t="shared" si="13"/>
        <v>17</v>
      </c>
      <c r="T50" s="20">
        <f t="shared" si="13"/>
        <v>18</v>
      </c>
      <c r="U50" s="20">
        <f t="shared" si="13"/>
        <v>19</v>
      </c>
      <c r="V50" s="20">
        <f t="shared" si="13"/>
        <v>20</v>
      </c>
      <c r="W50" s="20">
        <f t="shared" si="13"/>
        <v>21</v>
      </c>
      <c r="X50" s="20">
        <f t="shared" si="13"/>
        <v>22</v>
      </c>
      <c r="Y50" s="20">
        <f t="shared" si="13"/>
        <v>23</v>
      </c>
      <c r="Z50" s="20">
        <f t="shared" si="13"/>
        <v>24</v>
      </c>
      <c r="AA50" s="20">
        <f t="shared" si="13"/>
        <v>25</v>
      </c>
      <c r="AB50" s="20">
        <f t="shared" si="13"/>
        <v>26</v>
      </c>
      <c r="AC50" s="20">
        <f t="shared" si="13"/>
        <v>27</v>
      </c>
      <c r="AD50" s="20">
        <f t="shared" si="13"/>
        <v>28</v>
      </c>
      <c r="AE50" s="20">
        <f t="shared" si="13"/>
        <v>29</v>
      </c>
      <c r="AF50" s="20">
        <f t="shared" si="13"/>
        <v>30</v>
      </c>
    </row>
    <row r="51" spans="1:32">
      <c r="A51" s="14" t="s">
        <v>50</v>
      </c>
      <c r="B51" s="15">
        <f>B22</f>
        <v>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>
      <c r="A52" t="s">
        <v>51</v>
      </c>
      <c r="B52" s="7"/>
      <c r="C52" s="7">
        <f>B53-B55-B54-B56</f>
        <v>190000</v>
      </c>
      <c r="D52" s="7">
        <f>C52+C53-C55-C54</f>
        <v>283750</v>
      </c>
      <c r="E52" s="7">
        <f>D52+D53-D55-D54</f>
        <v>336250</v>
      </c>
      <c r="F52" s="7">
        <f>E52+E53-E55-E54</f>
        <v>375000</v>
      </c>
      <c r="G52" s="7">
        <f>F52+F53-F55-F54</f>
        <v>400000</v>
      </c>
      <c r="H52" s="7">
        <f>G52+G53-G55-H47-G54</f>
        <v>377406.375</v>
      </c>
      <c r="I52" s="7">
        <f>H52+H53+H55</f>
        <v>383906.375</v>
      </c>
      <c r="J52" s="7">
        <f t="shared" ref="J52:AF52" si="14">I52+I53+I55</f>
        <v>370406.375</v>
      </c>
      <c r="K52" s="7">
        <f t="shared" si="14"/>
        <v>356906.375</v>
      </c>
      <c r="L52" s="7">
        <f t="shared" si="14"/>
        <v>343406.375</v>
      </c>
      <c r="M52" s="7">
        <f t="shared" si="14"/>
        <v>329906.375</v>
      </c>
      <c r="N52" s="7">
        <f t="shared" si="14"/>
        <v>316406.375</v>
      </c>
      <c r="O52" s="7">
        <f t="shared" si="14"/>
        <v>302906.375</v>
      </c>
      <c r="P52" s="7">
        <f t="shared" si="14"/>
        <v>289406.375</v>
      </c>
      <c r="Q52" s="7">
        <f t="shared" si="14"/>
        <v>275906.375</v>
      </c>
      <c r="R52" s="7">
        <f t="shared" si="14"/>
        <v>262406.375</v>
      </c>
      <c r="S52" s="7">
        <f t="shared" si="14"/>
        <v>248906.375</v>
      </c>
      <c r="T52" s="7">
        <f t="shared" si="14"/>
        <v>235406.375</v>
      </c>
      <c r="U52" s="7">
        <f t="shared" si="14"/>
        <v>221906.375</v>
      </c>
      <c r="V52" s="7">
        <f t="shared" si="14"/>
        <v>208406.375</v>
      </c>
      <c r="W52" s="7">
        <f t="shared" si="14"/>
        <v>194906.375</v>
      </c>
      <c r="X52" s="7">
        <f t="shared" si="14"/>
        <v>181406.375</v>
      </c>
      <c r="Y52" s="7">
        <f t="shared" si="14"/>
        <v>167906.375</v>
      </c>
      <c r="Z52" s="7">
        <f t="shared" si="14"/>
        <v>154406.375</v>
      </c>
      <c r="AA52" s="7">
        <f t="shared" si="14"/>
        <v>140906.375</v>
      </c>
      <c r="AB52" s="7">
        <f t="shared" si="14"/>
        <v>127406.375</v>
      </c>
      <c r="AC52" s="7">
        <f t="shared" si="14"/>
        <v>113906.375</v>
      </c>
      <c r="AD52" s="7">
        <f t="shared" si="14"/>
        <v>100406.375</v>
      </c>
      <c r="AE52" s="7">
        <f t="shared" si="14"/>
        <v>86906.375</v>
      </c>
      <c r="AF52" s="7">
        <f t="shared" si="14"/>
        <v>73406.375</v>
      </c>
    </row>
    <row r="53" spans="1:32" s="18" customFormat="1">
      <c r="A53" s="16" t="s">
        <v>58</v>
      </c>
      <c r="B53" s="7">
        <f>-B47-B56</f>
        <v>190000</v>
      </c>
      <c r="C53" s="7">
        <f>-C47</f>
        <v>93750</v>
      </c>
      <c r="D53" s="7">
        <f>-D47</f>
        <v>52500</v>
      </c>
      <c r="E53" s="7">
        <f>-E47</f>
        <v>38750</v>
      </c>
      <c r="F53" s="7">
        <f>-F47</f>
        <v>25000</v>
      </c>
      <c r="G53" s="7">
        <f>-FLOOR(G47+(-G52*$B$23),5000)</f>
        <v>0</v>
      </c>
      <c r="H53" s="7">
        <f>-FLOOR((-H52*$B$23),5000)</f>
        <v>20000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s="18" customFormat="1">
      <c r="A54" s="3" t="s">
        <v>52</v>
      </c>
      <c r="B54" s="17"/>
      <c r="C54" s="17"/>
      <c r="D54" s="17"/>
      <c r="E54" s="17"/>
      <c r="F54" s="17"/>
      <c r="G54" s="17"/>
      <c r="H54" s="17">
        <f>-$B$23*(H52+H53)</f>
        <v>-15896.255000000001</v>
      </c>
      <c r="I54" s="17">
        <f t="shared" ref="I54:AF54" si="15">-$B$23*I52</f>
        <v>-15356.255000000001</v>
      </c>
      <c r="J54" s="17">
        <f t="shared" si="15"/>
        <v>-14816.255000000001</v>
      </c>
      <c r="K54" s="17">
        <f t="shared" si="15"/>
        <v>-14276.255000000001</v>
      </c>
      <c r="L54" s="17">
        <f t="shared" si="15"/>
        <v>-13736.255000000001</v>
      </c>
      <c r="M54" s="17">
        <f t="shared" si="15"/>
        <v>-13196.255000000001</v>
      </c>
      <c r="N54" s="17">
        <f t="shared" si="15"/>
        <v>-12656.255000000001</v>
      </c>
      <c r="O54" s="17">
        <f t="shared" si="15"/>
        <v>-12116.255000000001</v>
      </c>
      <c r="P54" s="17">
        <f t="shared" si="15"/>
        <v>-11576.255000000001</v>
      </c>
      <c r="Q54" s="17">
        <f t="shared" si="15"/>
        <v>-11036.255000000001</v>
      </c>
      <c r="R54" s="17">
        <f t="shared" si="15"/>
        <v>-10496.255000000001</v>
      </c>
      <c r="S54" s="17">
        <f t="shared" si="15"/>
        <v>-9956.255000000001</v>
      </c>
      <c r="T54" s="17">
        <f t="shared" si="15"/>
        <v>-9416.255000000001</v>
      </c>
      <c r="U54" s="17">
        <f t="shared" si="15"/>
        <v>-8876.255000000001</v>
      </c>
      <c r="V54" s="17">
        <f t="shared" si="15"/>
        <v>-8336.255000000001</v>
      </c>
      <c r="W54" s="17">
        <f t="shared" si="15"/>
        <v>-7796.2550000000001</v>
      </c>
      <c r="X54" s="17">
        <f t="shared" si="15"/>
        <v>-7256.2550000000001</v>
      </c>
      <c r="Y54" s="17">
        <f t="shared" si="15"/>
        <v>-6716.2550000000001</v>
      </c>
      <c r="Z54" s="17">
        <f t="shared" si="15"/>
        <v>-6176.2550000000001</v>
      </c>
      <c r="AA54" s="17">
        <f t="shared" si="15"/>
        <v>-5636.2550000000001</v>
      </c>
      <c r="AB54" s="17">
        <f t="shared" si="15"/>
        <v>-5096.2550000000001</v>
      </c>
      <c r="AC54" s="17">
        <f t="shared" si="15"/>
        <v>-4556.2550000000001</v>
      </c>
      <c r="AD54" s="17">
        <f t="shared" si="15"/>
        <v>-4016.2550000000001</v>
      </c>
      <c r="AE54" s="17">
        <f t="shared" si="15"/>
        <v>-3476.2550000000001</v>
      </c>
      <c r="AF54" s="17">
        <f t="shared" si="15"/>
        <v>-2936.2550000000001</v>
      </c>
    </row>
    <row r="55" spans="1:32" s="18" customFormat="1">
      <c r="A55" s="3" t="s">
        <v>53</v>
      </c>
      <c r="B55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17">
        <f t="shared" ref="H55:V55" si="16">-CEILING((1/$B$24)*($H$52+$H$53),500)</f>
        <v>-13500</v>
      </c>
      <c r="I55" s="17">
        <f t="shared" si="16"/>
        <v>-13500</v>
      </c>
      <c r="J55" s="17">
        <f t="shared" si="16"/>
        <v>-13500</v>
      </c>
      <c r="K55" s="17">
        <f t="shared" si="16"/>
        <v>-13500</v>
      </c>
      <c r="L55" s="17">
        <f t="shared" si="16"/>
        <v>-13500</v>
      </c>
      <c r="M55" s="17">
        <f t="shared" si="16"/>
        <v>-13500</v>
      </c>
      <c r="N55" s="17">
        <f t="shared" si="16"/>
        <v>-13500</v>
      </c>
      <c r="O55" s="17">
        <f t="shared" si="16"/>
        <v>-13500</v>
      </c>
      <c r="P55" s="17">
        <f t="shared" si="16"/>
        <v>-13500</v>
      </c>
      <c r="Q55" s="17">
        <f t="shared" si="16"/>
        <v>-13500</v>
      </c>
      <c r="R55" s="17">
        <f t="shared" si="16"/>
        <v>-13500</v>
      </c>
      <c r="S55" s="17">
        <f t="shared" si="16"/>
        <v>-13500</v>
      </c>
      <c r="T55" s="17">
        <f t="shared" si="16"/>
        <v>-13500</v>
      </c>
      <c r="U55" s="17">
        <f t="shared" si="16"/>
        <v>-13500</v>
      </c>
      <c r="V55" s="17">
        <f t="shared" si="16"/>
        <v>-13500</v>
      </c>
      <c r="W55" s="17">
        <f>IF(W52&gt;0,-CEILING((1/$B$24)*($H$52+$H$53),500),0)</f>
        <v>-13500</v>
      </c>
      <c r="X55" s="17">
        <f>IF(X52&gt;0,-CEILING((1/$B$24)*($H$52+$H$53),500),0)</f>
        <v>-13500</v>
      </c>
      <c r="Y55" s="17">
        <f>IF(Y52&gt;0,-CEILING((1/$B$24)*($H$52+$H$53),500),0)</f>
        <v>-13500</v>
      </c>
      <c r="Z55" s="17">
        <f>IF(Z52&gt;0,-CEILING((1/$B$24)*($H$52+$H$53),500),0)</f>
        <v>-13500</v>
      </c>
      <c r="AA55" s="17">
        <f>IF(AA52&lt;ABS(-CEILING((1/$B$24)*($H$52+$H$53),500)),-AA52,-CEILING((1/$B$24)*($H$52+$H$53),500))</f>
        <v>-13500</v>
      </c>
      <c r="AB55" s="17">
        <f>IF(AB52&lt;ABS(-CEILING((1/$B$24)*($H$52+$H$53),500)),-AB52,-CEILING((1/$B$24)*($H$52+$H$53),500))</f>
        <v>-13500</v>
      </c>
      <c r="AC55" s="17">
        <f>IF(AC52&lt;ABS(-CEILING((1/$B$24)*($H$52+$H$53),500)),-AC52,-CEILING((1/$B$24)*($H$52+$H$53),500))</f>
        <v>-13500</v>
      </c>
      <c r="AD55" s="17">
        <f>IF(AD52&lt;ABS(-CEILING((1/$B$24)*($H$52+$H$53),500)),-AD52,-CEILING((1/$B$24)*($H$52+$H$53),500))</f>
        <v>-13500</v>
      </c>
      <c r="AE55" s="17">
        <f>IF(AE52&lt;ABS(-CEILING((1/$B$24)*($H$52+$H$53),500)),-AE52,-CEILING((1/$B$24)*($H$52+$H$53),500))</f>
        <v>-13500</v>
      </c>
      <c r="AF55" s="17">
        <f>-MAX(AF52,(-(1/$B$24)*($H$52+$H$53)))</f>
        <v>-73406.375</v>
      </c>
    </row>
    <row r="56" spans="1:32" s="18" customFormat="1">
      <c r="A56" t="s">
        <v>54</v>
      </c>
      <c r="B56" s="7">
        <f>B21</f>
        <v>0</v>
      </c>
      <c r="C56" s="7"/>
      <c r="D56" s="7"/>
      <c r="E56" s="7"/>
      <c r="F56" s="7"/>
      <c r="G56" s="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s="18" customFormat="1">
      <c r="A57" s="28" t="s">
        <v>55</v>
      </c>
      <c r="B57" s="21"/>
      <c r="C57" s="21"/>
      <c r="D57" s="21"/>
      <c r="E57" s="21"/>
      <c r="F57" s="21"/>
      <c r="G57" s="21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s="18" customFormat="1">
      <c r="A58" s="13" t="s">
        <v>49</v>
      </c>
      <c r="B58" s="7">
        <f>B47+B51+B53+B56</f>
        <v>0</v>
      </c>
      <c r="C58" s="7">
        <f>C47+C53+B59+C54</f>
        <v>0</v>
      </c>
      <c r="D58" s="7">
        <f>D47+D53+C59+D54</f>
        <v>0</v>
      </c>
      <c r="E58" s="7">
        <f t="shared" ref="E58:G58" si="17">E47+E53+D59+E54</f>
        <v>0</v>
      </c>
      <c r="F58" s="7">
        <f t="shared" si="17"/>
        <v>0</v>
      </c>
      <c r="G58" s="7">
        <f t="shared" si="17"/>
        <v>17323.125</v>
      </c>
      <c r="H58" s="17">
        <f>H47+H53+H54+H55</f>
        <v>13197.369999999999</v>
      </c>
      <c r="I58" s="17">
        <f t="shared" ref="I58:AF58" si="18">I47+I53+I54+I55</f>
        <v>-5102.2462499999929</v>
      </c>
      <c r="J58" s="17">
        <f t="shared" si="18"/>
        <v>-3323.0734499999999</v>
      </c>
      <c r="K58" s="17">
        <f>K47+K53+K54+K55</f>
        <v>-1488.9337379999888</v>
      </c>
      <c r="L58" s="17">
        <f t="shared" si="18"/>
        <v>402.37156248001338</v>
      </c>
      <c r="M58" s="17">
        <f t="shared" si="18"/>
        <v>2353.1290749792097</v>
      </c>
      <c r="N58" s="17">
        <f t="shared" si="18"/>
        <v>4365.7168879783749</v>
      </c>
      <c r="O58" s="17">
        <f t="shared" si="18"/>
        <v>6442.608213497515</v>
      </c>
      <c r="P58" s="17">
        <f t="shared" si="18"/>
        <v>8586.3751920374234</v>
      </c>
      <c r="Q58" s="17">
        <f t="shared" si="18"/>
        <v>10799.692849718926</v>
      </c>
      <c r="R58" s="17">
        <f t="shared" si="18"/>
        <v>13085.343213707678</v>
      </c>
      <c r="S58" s="17">
        <f t="shared" si="18"/>
        <v>15446.21959225598</v>
      </c>
      <c r="T58" s="17">
        <f t="shared" si="18"/>
        <v>17885.331025946234</v>
      </c>
      <c r="U58" s="17">
        <f t="shared" si="18"/>
        <v>20405.806916984075</v>
      </c>
      <c r="V58" s="17">
        <f t="shared" si="18"/>
        <v>-45739.098156336549</v>
      </c>
      <c r="W58" s="17">
        <f t="shared" si="18"/>
        <v>2790.9018436634433</v>
      </c>
      <c r="X58" s="17">
        <f t="shared" si="18"/>
        <v>23820.901843663443</v>
      </c>
      <c r="Y58" s="17">
        <f t="shared" si="18"/>
        <v>24225.901843663443</v>
      </c>
      <c r="Z58" s="17">
        <f t="shared" si="18"/>
        <v>24630.901843663443</v>
      </c>
      <c r="AA58" s="17">
        <f t="shared" si="18"/>
        <v>25035.901843663443</v>
      </c>
      <c r="AB58" s="17">
        <f t="shared" si="18"/>
        <v>25440.901843663443</v>
      </c>
      <c r="AC58" s="17">
        <f t="shared" si="18"/>
        <v>25845.901843663443</v>
      </c>
      <c r="AD58" s="17">
        <f t="shared" si="18"/>
        <v>26250.901843663443</v>
      </c>
      <c r="AE58" s="17">
        <f t="shared" si="18"/>
        <v>26655.901843663443</v>
      </c>
      <c r="AF58" s="17">
        <f t="shared" si="18"/>
        <v>22154.526843663436</v>
      </c>
    </row>
    <row r="59" spans="1:32" s="18" customFormat="1" ht="15" thickBot="1">
      <c r="A59" s="25" t="s">
        <v>56</v>
      </c>
      <c r="B59" s="26">
        <f>B58</f>
        <v>0</v>
      </c>
      <c r="C59" s="26">
        <f t="shared" ref="C59:AF59" si="19">B59+C58</f>
        <v>0</v>
      </c>
      <c r="D59" s="26">
        <f t="shared" si="19"/>
        <v>0</v>
      </c>
      <c r="E59" s="26">
        <f t="shared" si="19"/>
        <v>0</v>
      </c>
      <c r="F59" s="26">
        <f t="shared" si="19"/>
        <v>0</v>
      </c>
      <c r="G59" s="26">
        <f t="shared" si="19"/>
        <v>17323.125</v>
      </c>
      <c r="H59" s="27">
        <f t="shared" si="19"/>
        <v>30520.494999999999</v>
      </c>
      <c r="I59" s="27">
        <f t="shared" si="19"/>
        <v>25418.248750000006</v>
      </c>
      <c r="J59" s="27">
        <f t="shared" si="19"/>
        <v>22095.175300000006</v>
      </c>
      <c r="K59" s="27">
        <f t="shared" si="19"/>
        <v>20606.241562000017</v>
      </c>
      <c r="L59" s="27">
        <f t="shared" si="19"/>
        <v>21008.613124480031</v>
      </c>
      <c r="M59" s="27">
        <f t="shared" si="19"/>
        <v>23361.742199459241</v>
      </c>
      <c r="N59" s="27">
        <f t="shared" si="19"/>
        <v>27727.459087437615</v>
      </c>
      <c r="O59" s="27">
        <f t="shared" si="19"/>
        <v>34170.06730093513</v>
      </c>
      <c r="P59" s="27">
        <f t="shared" si="19"/>
        <v>42756.44249297255</v>
      </c>
      <c r="Q59" s="27">
        <f t="shared" si="19"/>
        <v>53556.135342691472</v>
      </c>
      <c r="R59" s="27">
        <f t="shared" si="19"/>
        <v>66641.478556399146</v>
      </c>
      <c r="S59" s="27">
        <f t="shared" si="19"/>
        <v>82087.698148655123</v>
      </c>
      <c r="T59" s="27">
        <f t="shared" si="19"/>
        <v>99973.029174601354</v>
      </c>
      <c r="U59" s="27">
        <f t="shared" si="19"/>
        <v>120378.83609158543</v>
      </c>
      <c r="V59" s="27">
        <f t="shared" si="19"/>
        <v>74639.737935248879</v>
      </c>
      <c r="W59" s="27">
        <f t="shared" si="19"/>
        <v>77430.639778912329</v>
      </c>
      <c r="X59" s="27">
        <f t="shared" si="19"/>
        <v>101251.54162257578</v>
      </c>
      <c r="Y59" s="27">
        <f t="shared" si="19"/>
        <v>125477.44346623923</v>
      </c>
      <c r="Z59" s="27">
        <f t="shared" si="19"/>
        <v>150108.34530990268</v>
      </c>
      <c r="AA59" s="27">
        <f t="shared" si="19"/>
        <v>175144.24715356613</v>
      </c>
      <c r="AB59" s="27">
        <f t="shared" si="19"/>
        <v>200585.14899722958</v>
      </c>
      <c r="AC59" s="27">
        <f t="shared" si="19"/>
        <v>226431.05084089303</v>
      </c>
      <c r="AD59" s="27">
        <f t="shared" si="19"/>
        <v>252681.95268455648</v>
      </c>
      <c r="AE59" s="27">
        <f t="shared" si="19"/>
        <v>279337.8545282199</v>
      </c>
      <c r="AF59" s="27">
        <f t="shared" si="19"/>
        <v>301492.38137188333</v>
      </c>
    </row>
    <row r="60" spans="1:3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2:3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2:3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2:3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2:3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2:3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2:3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2:3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2:3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2:3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2:3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2:3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2:3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2:3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</sheetData>
  <mergeCells count="1">
    <mergeCell ref="C14:D14"/>
  </mergeCells>
  <conditionalFormatting sqref="B59:AF59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F77"/>
  <sheetViews>
    <sheetView topLeftCell="A4" workbookViewId="0">
      <selection activeCell="R14" sqref="R14"/>
    </sheetView>
  </sheetViews>
  <sheetFormatPr baseColWidth="10" defaultColWidth="8.83203125" defaultRowHeight="14" x14ac:dyDescent="0"/>
  <cols>
    <col min="1" max="1" width="36.6640625" bestFit="1" customWidth="1"/>
    <col min="2" max="2" width="9.83203125" bestFit="1" customWidth="1"/>
    <col min="12" max="12" width="8.33203125" bestFit="1" customWidth="1"/>
  </cols>
  <sheetData>
    <row r="3" spans="1:13" ht="28">
      <c r="A3" s="1" t="s">
        <v>65</v>
      </c>
      <c r="J3" s="1"/>
    </row>
    <row r="5" spans="1:13">
      <c r="A5" t="s">
        <v>0</v>
      </c>
      <c r="B5" s="2">
        <v>0</v>
      </c>
      <c r="C5" s="3" t="s">
        <v>1</v>
      </c>
      <c r="L5" s="2"/>
      <c r="M5" s="3"/>
    </row>
    <row r="6" spans="1:13">
      <c r="A6" t="s">
        <v>2</v>
      </c>
      <c r="B6" s="4">
        <v>1000</v>
      </c>
      <c r="C6" s="3" t="s">
        <v>70</v>
      </c>
      <c r="L6" s="2"/>
      <c r="M6" s="3"/>
    </row>
    <row r="7" spans="1:13">
      <c r="A7" t="s">
        <v>3</v>
      </c>
      <c r="B7" s="4">
        <v>1000</v>
      </c>
      <c r="C7" s="3" t="s">
        <v>4</v>
      </c>
      <c r="L7" s="2"/>
      <c r="M7" s="3"/>
    </row>
    <row r="8" spans="1:13">
      <c r="A8" t="s">
        <v>5</v>
      </c>
      <c r="B8">
        <v>5</v>
      </c>
      <c r="C8" t="s">
        <v>6</v>
      </c>
    </row>
    <row r="9" spans="1:13">
      <c r="A9" t="s">
        <v>7</v>
      </c>
      <c r="B9">
        <v>25</v>
      </c>
      <c r="C9" t="s">
        <v>6</v>
      </c>
    </row>
    <row r="10" spans="1:13">
      <c r="A10" t="s">
        <v>8</v>
      </c>
      <c r="B10" s="2">
        <v>1000</v>
      </c>
      <c r="C10" s="3" t="s">
        <v>1</v>
      </c>
      <c r="L10" s="2"/>
      <c r="M10" s="3"/>
    </row>
    <row r="11" spans="1:13">
      <c r="A11" t="s">
        <v>9</v>
      </c>
      <c r="B11" s="5">
        <v>0.04</v>
      </c>
      <c r="C11" t="s">
        <v>10</v>
      </c>
      <c r="L11" s="5"/>
    </row>
    <row r="12" spans="1:13">
      <c r="A12" t="s">
        <v>61</v>
      </c>
      <c r="B12" s="5">
        <v>0.1</v>
      </c>
      <c r="C12" t="s">
        <v>62</v>
      </c>
      <c r="L12" s="5"/>
    </row>
    <row r="13" spans="1:13">
      <c r="A13" t="s">
        <v>11</v>
      </c>
      <c r="B13" s="6">
        <v>55</v>
      </c>
      <c r="C13" s="3" t="s">
        <v>12</v>
      </c>
      <c r="L13" s="7"/>
      <c r="M13" s="3"/>
    </row>
    <row r="14" spans="1:13">
      <c r="A14" t="s">
        <v>13</v>
      </c>
      <c r="B14" s="19">
        <v>0.7</v>
      </c>
      <c r="C14" s="38" t="s">
        <v>63</v>
      </c>
      <c r="D14" s="38"/>
      <c r="E14" s="30">
        <f>1-B14</f>
        <v>0.30000000000000004</v>
      </c>
      <c r="F14" t="s">
        <v>64</v>
      </c>
      <c r="L14" s="5"/>
      <c r="M14" s="3"/>
    </row>
    <row r="15" spans="1:13">
      <c r="A15" t="s">
        <v>14</v>
      </c>
      <c r="B15" s="2">
        <v>0</v>
      </c>
      <c r="C15" s="3" t="s">
        <v>1</v>
      </c>
      <c r="D15" s="3" t="s">
        <v>15</v>
      </c>
      <c r="L15" s="2"/>
      <c r="M15" s="3"/>
    </row>
    <row r="16" spans="1:13">
      <c r="A16" t="s">
        <v>16</v>
      </c>
      <c r="B16" s="2">
        <f>D16+F16</f>
        <v>100</v>
      </c>
      <c r="C16" t="s">
        <v>17</v>
      </c>
      <c r="D16" s="4">
        <f>40</f>
        <v>40</v>
      </c>
      <c r="E16" t="s">
        <v>18</v>
      </c>
      <c r="F16" s="4">
        <v>60</v>
      </c>
      <c r="G16" t="s">
        <v>19</v>
      </c>
      <c r="L16" s="2"/>
      <c r="M16" s="3"/>
    </row>
    <row r="17" spans="1:32">
      <c r="A17" t="s">
        <v>20</v>
      </c>
      <c r="B17" s="8">
        <f>B16*B13</f>
        <v>5500</v>
      </c>
      <c r="C17" s="3" t="s">
        <v>57</v>
      </c>
      <c r="D17" s="3"/>
      <c r="L17" s="2"/>
      <c r="M17" s="3"/>
    </row>
    <row r="18" spans="1:32">
      <c r="A18" t="s">
        <v>21</v>
      </c>
      <c r="B18" s="2">
        <v>25</v>
      </c>
      <c r="C18" s="3" t="s">
        <v>22</v>
      </c>
      <c r="L18" s="2"/>
      <c r="M18" s="3"/>
    </row>
    <row r="19" spans="1:32">
      <c r="A19" t="s">
        <v>23</v>
      </c>
      <c r="B19" s="7">
        <v>2</v>
      </c>
      <c r="C19" s="3" t="s">
        <v>24</v>
      </c>
      <c r="L19" s="7"/>
      <c r="M19" s="3"/>
    </row>
    <row r="20" spans="1:32">
      <c r="A20" t="s">
        <v>25</v>
      </c>
      <c r="B20" s="4">
        <v>25000</v>
      </c>
      <c r="C20" s="3" t="s">
        <v>10</v>
      </c>
      <c r="L20" s="7"/>
      <c r="M20" s="3"/>
    </row>
    <row r="21" spans="1:32">
      <c r="A21" t="s">
        <v>69</v>
      </c>
      <c r="B21" s="4">
        <v>0</v>
      </c>
      <c r="C21" s="3" t="s">
        <v>68</v>
      </c>
      <c r="L21" s="7"/>
      <c r="M21" s="3"/>
    </row>
    <row r="22" spans="1:32">
      <c r="A22" t="s">
        <v>26</v>
      </c>
      <c r="B22" s="2">
        <f>-B33</f>
        <v>0</v>
      </c>
      <c r="C22" s="3" t="s">
        <v>27</v>
      </c>
      <c r="L22" s="2"/>
      <c r="M22" s="3"/>
    </row>
    <row r="23" spans="1:32">
      <c r="A23" t="s">
        <v>28</v>
      </c>
      <c r="B23" s="5">
        <v>0.04</v>
      </c>
      <c r="C23" s="3" t="s">
        <v>29</v>
      </c>
      <c r="L23" s="5"/>
      <c r="M23" s="3"/>
    </row>
    <row r="24" spans="1:32">
      <c r="A24" t="s">
        <v>30</v>
      </c>
      <c r="B24" s="6">
        <v>30</v>
      </c>
      <c r="C24" t="s">
        <v>59</v>
      </c>
      <c r="L24" s="7"/>
    </row>
    <row r="25" spans="1:32">
      <c r="A25" t="s">
        <v>31</v>
      </c>
      <c r="B25" s="5">
        <f>B23</f>
        <v>0.04</v>
      </c>
      <c r="C25" t="s">
        <v>32</v>
      </c>
      <c r="J25" t="s">
        <v>71</v>
      </c>
      <c r="L25" s="19">
        <v>0.25</v>
      </c>
    </row>
    <row r="26" spans="1:32">
      <c r="A26" t="s">
        <v>33</v>
      </c>
      <c r="B26" s="2">
        <f>SUM(B48:AF48)</f>
        <v>72365.828864545503</v>
      </c>
      <c r="L26" s="5"/>
    </row>
    <row r="27" spans="1:32">
      <c r="A27" t="s">
        <v>34</v>
      </c>
      <c r="B27" s="9">
        <f>0.5*-(B34+B35)</f>
        <v>55000</v>
      </c>
      <c r="C27" t="s">
        <v>67</v>
      </c>
      <c r="L27" s="5"/>
    </row>
    <row r="28" spans="1:32">
      <c r="L28" s="10"/>
    </row>
    <row r="29" spans="1:32">
      <c r="L29" s="2"/>
    </row>
    <row r="31" spans="1:32">
      <c r="A31" s="23"/>
      <c r="B31" s="20">
        <v>0</v>
      </c>
      <c r="C31" s="20">
        <v>1</v>
      </c>
      <c r="D31" s="20">
        <v>2</v>
      </c>
      <c r="E31" s="20">
        <v>3</v>
      </c>
      <c r="F31" s="20">
        <v>4</v>
      </c>
      <c r="G31" s="20">
        <v>5</v>
      </c>
      <c r="H31" s="20">
        <v>6</v>
      </c>
      <c r="I31" s="20">
        <v>7</v>
      </c>
      <c r="J31" s="20">
        <v>8</v>
      </c>
      <c r="K31" s="20">
        <v>9</v>
      </c>
      <c r="L31" s="20">
        <v>10</v>
      </c>
      <c r="M31" s="20">
        <v>11</v>
      </c>
      <c r="N31" s="20">
        <v>12</v>
      </c>
      <c r="O31" s="20">
        <v>13</v>
      </c>
      <c r="P31" s="20">
        <v>14</v>
      </c>
      <c r="Q31" s="20">
        <v>15</v>
      </c>
      <c r="R31" s="20">
        <v>16</v>
      </c>
      <c r="S31" s="20">
        <v>17</v>
      </c>
      <c r="T31" s="20">
        <v>18</v>
      </c>
      <c r="U31" s="20">
        <v>19</v>
      </c>
      <c r="V31" s="20">
        <v>20</v>
      </c>
      <c r="W31" s="20">
        <v>21</v>
      </c>
      <c r="X31" s="20">
        <v>22</v>
      </c>
      <c r="Y31" s="20">
        <v>23</v>
      </c>
      <c r="Z31" s="20">
        <v>24</v>
      </c>
      <c r="AA31" s="20">
        <v>25</v>
      </c>
      <c r="AB31" s="20">
        <v>26</v>
      </c>
      <c r="AC31" s="20">
        <v>27</v>
      </c>
      <c r="AD31" s="20">
        <v>28</v>
      </c>
      <c r="AE31" s="20">
        <v>29</v>
      </c>
      <c r="AF31" s="20">
        <v>30</v>
      </c>
    </row>
    <row r="32" spans="1:32">
      <c r="A32" s="12" t="s">
        <v>35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>
      <c r="A33" s="3" t="s">
        <v>36</v>
      </c>
      <c r="B33" s="7">
        <f>-B5*B13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>
      <c r="A34" s="3" t="s">
        <v>37</v>
      </c>
      <c r="B34" s="7">
        <f>-B6*B13</f>
        <v>-55000</v>
      </c>
      <c r="C34" s="7">
        <f>0.5*B34</f>
        <v>-27500</v>
      </c>
      <c r="D34" s="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f>0.75*B34</f>
        <v>-41250</v>
      </c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>
      <c r="A35" s="3" t="s">
        <v>38</v>
      </c>
      <c r="B35" s="7">
        <f>-B7*B13</f>
        <v>-55000</v>
      </c>
      <c r="C35" s="7">
        <f>0.75*B35</f>
        <v>-41250</v>
      </c>
      <c r="D35" s="7">
        <f>0.5*B35</f>
        <v>-27500</v>
      </c>
      <c r="E35" s="7">
        <f>0.25*B35</f>
        <v>-13750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>
        <f>0.5*B35</f>
        <v>-27500</v>
      </c>
      <c r="W35" s="7">
        <f>0.5*C35</f>
        <v>-20625</v>
      </c>
      <c r="X35" s="7"/>
      <c r="Y35" s="7"/>
      <c r="Z35" s="7"/>
      <c r="AA35" s="7"/>
      <c r="AB35" s="7"/>
      <c r="AC35" s="7"/>
      <c r="AD35" s="7"/>
      <c r="AE35" s="7"/>
      <c r="AF35" s="7"/>
    </row>
    <row r="36" spans="1:32">
      <c r="A36" s="3" t="s">
        <v>39</v>
      </c>
      <c r="B36" s="7">
        <f>-B27</f>
        <v>-55000</v>
      </c>
      <c r="C36" s="7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f>-B36</f>
        <v>55000</v>
      </c>
    </row>
    <row r="37" spans="1:32">
      <c r="A37" s="12" t="s">
        <v>40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>
      <c r="A38" s="3" t="s">
        <v>41</v>
      </c>
      <c r="B38" s="7"/>
      <c r="C38" s="7"/>
      <c r="D38" s="7"/>
      <c r="E38" s="7"/>
      <c r="F38" s="7"/>
      <c r="G38" s="7">
        <f>$B$17</f>
        <v>5500</v>
      </c>
      <c r="H38" s="7">
        <f>$B$17</f>
        <v>5500</v>
      </c>
      <c r="I38" s="7">
        <f t="shared" ref="I38:AF38" si="0">$B$17</f>
        <v>5500</v>
      </c>
      <c r="J38" s="7">
        <f t="shared" si="0"/>
        <v>5500</v>
      </c>
      <c r="K38" s="7">
        <f t="shared" si="0"/>
        <v>5500</v>
      </c>
      <c r="L38" s="7">
        <f t="shared" si="0"/>
        <v>5500</v>
      </c>
      <c r="M38" s="7">
        <f t="shared" si="0"/>
        <v>5500</v>
      </c>
      <c r="N38" s="7">
        <f t="shared" si="0"/>
        <v>5500</v>
      </c>
      <c r="O38" s="7">
        <f t="shared" si="0"/>
        <v>5500</v>
      </c>
      <c r="P38" s="7">
        <f t="shared" si="0"/>
        <v>5500</v>
      </c>
      <c r="Q38" s="7">
        <f t="shared" si="0"/>
        <v>5500</v>
      </c>
      <c r="R38" s="7">
        <f t="shared" si="0"/>
        <v>5500</v>
      </c>
      <c r="S38" s="7">
        <f t="shared" si="0"/>
        <v>5500</v>
      </c>
      <c r="T38" s="7">
        <f t="shared" si="0"/>
        <v>5500</v>
      </c>
      <c r="U38" s="7">
        <f t="shared" si="0"/>
        <v>5500</v>
      </c>
      <c r="V38" s="7">
        <f t="shared" si="0"/>
        <v>5500</v>
      </c>
      <c r="W38" s="7">
        <f t="shared" si="0"/>
        <v>5500</v>
      </c>
      <c r="X38" s="7">
        <f t="shared" si="0"/>
        <v>5500</v>
      </c>
      <c r="Y38" s="7">
        <f t="shared" si="0"/>
        <v>5500</v>
      </c>
      <c r="Z38" s="7">
        <f t="shared" si="0"/>
        <v>5500</v>
      </c>
      <c r="AA38" s="7">
        <f t="shared" si="0"/>
        <v>5500</v>
      </c>
      <c r="AB38" s="7">
        <f t="shared" si="0"/>
        <v>5500</v>
      </c>
      <c r="AC38" s="7">
        <f t="shared" si="0"/>
        <v>5500</v>
      </c>
      <c r="AD38" s="7">
        <f t="shared" si="0"/>
        <v>5500</v>
      </c>
      <c r="AE38" s="7">
        <f t="shared" si="0"/>
        <v>5500</v>
      </c>
      <c r="AF38" s="7">
        <f t="shared" si="0"/>
        <v>5500</v>
      </c>
    </row>
    <row r="39" spans="1:32">
      <c r="A39" s="3" t="s">
        <v>42</v>
      </c>
      <c r="B39" s="7"/>
      <c r="C39" s="7"/>
      <c r="D39" s="7"/>
      <c r="E39" s="7"/>
      <c r="F39" s="7"/>
      <c r="G39" s="7">
        <f t="shared" ref="G39:V39" si="1">$B$10*$B$13*$B$14*(1+$B$11)^(G31-5)</f>
        <v>38500</v>
      </c>
      <c r="H39" s="7">
        <f t="shared" si="1"/>
        <v>40040</v>
      </c>
      <c r="I39" s="7">
        <f t="shared" si="1"/>
        <v>41641.600000000006</v>
      </c>
      <c r="J39" s="7">
        <f t="shared" si="1"/>
        <v>43307.264000000003</v>
      </c>
      <c r="K39" s="7">
        <f t="shared" si="1"/>
        <v>45039.554560000011</v>
      </c>
      <c r="L39" s="7">
        <f t="shared" si="1"/>
        <v>46841.136742400013</v>
      </c>
      <c r="M39" s="7">
        <f t="shared" si="1"/>
        <v>48714.782212096012</v>
      </c>
      <c r="N39" s="7">
        <f t="shared" si="1"/>
        <v>50663.373500579852</v>
      </c>
      <c r="O39" s="7">
        <f t="shared" si="1"/>
        <v>52689.908440603052</v>
      </c>
      <c r="P39" s="7">
        <f t="shared" si="1"/>
        <v>54797.504778227179</v>
      </c>
      <c r="Q39" s="7">
        <f t="shared" si="1"/>
        <v>56989.40496935627</v>
      </c>
      <c r="R39" s="7">
        <f t="shared" si="1"/>
        <v>59268.981168130515</v>
      </c>
      <c r="S39" s="7">
        <f t="shared" si="1"/>
        <v>61639.740414855747</v>
      </c>
      <c r="T39" s="7">
        <f t="shared" si="1"/>
        <v>64105.330031449979</v>
      </c>
      <c r="U39" s="7">
        <f t="shared" si="1"/>
        <v>66669.543232707976</v>
      </c>
      <c r="V39" s="7">
        <f t="shared" si="1"/>
        <v>69336.324962016297</v>
      </c>
      <c r="W39" s="7">
        <f>V39</f>
        <v>69336.324962016297</v>
      </c>
      <c r="X39" s="7">
        <f t="shared" ref="X39:AF39" si="2">W39</f>
        <v>69336.324962016297</v>
      </c>
      <c r="Y39" s="7">
        <f t="shared" si="2"/>
        <v>69336.324962016297</v>
      </c>
      <c r="Z39" s="7">
        <f t="shared" si="2"/>
        <v>69336.324962016297</v>
      </c>
      <c r="AA39" s="7">
        <f t="shared" si="2"/>
        <v>69336.324962016297</v>
      </c>
      <c r="AB39" s="7">
        <f t="shared" si="2"/>
        <v>69336.324962016297</v>
      </c>
      <c r="AC39" s="7">
        <f t="shared" si="2"/>
        <v>69336.324962016297</v>
      </c>
      <c r="AD39" s="7">
        <f t="shared" si="2"/>
        <v>69336.324962016297</v>
      </c>
      <c r="AE39" s="7">
        <f t="shared" si="2"/>
        <v>69336.324962016297</v>
      </c>
      <c r="AF39" s="7">
        <f t="shared" si="2"/>
        <v>69336.324962016297</v>
      </c>
    </row>
    <row r="40" spans="1:32">
      <c r="A40" s="3" t="s">
        <v>60</v>
      </c>
      <c r="B40" s="7"/>
      <c r="C40" s="7"/>
      <c r="D40" s="7"/>
      <c r="E40" s="7"/>
      <c r="F40" s="7"/>
      <c r="G40" s="7">
        <f>$B$12*G39</f>
        <v>3850</v>
      </c>
      <c r="H40" s="7">
        <f t="shared" ref="H40:AF40" si="3">$B$12*H39</f>
        <v>4004</v>
      </c>
      <c r="I40" s="7">
        <f t="shared" si="3"/>
        <v>4164.1600000000008</v>
      </c>
      <c r="J40" s="7">
        <f t="shared" si="3"/>
        <v>4330.7264000000005</v>
      </c>
      <c r="K40" s="7">
        <f t="shared" si="3"/>
        <v>4503.9554560000015</v>
      </c>
      <c r="L40" s="7">
        <f t="shared" si="3"/>
        <v>4684.1136742400013</v>
      </c>
      <c r="M40" s="7">
        <f t="shared" si="3"/>
        <v>4871.4782212096015</v>
      </c>
      <c r="N40" s="7">
        <f t="shared" si="3"/>
        <v>5066.3373500579855</v>
      </c>
      <c r="O40" s="7">
        <f t="shared" si="3"/>
        <v>5268.9908440603058</v>
      </c>
      <c r="P40" s="7">
        <f t="shared" si="3"/>
        <v>5479.7504778227185</v>
      </c>
      <c r="Q40" s="7">
        <f t="shared" si="3"/>
        <v>5698.9404969356274</v>
      </c>
      <c r="R40" s="7">
        <f t="shared" si="3"/>
        <v>5926.8981168130522</v>
      </c>
      <c r="S40" s="7">
        <f t="shared" si="3"/>
        <v>6163.9740414855751</v>
      </c>
      <c r="T40" s="7">
        <f t="shared" si="3"/>
        <v>6410.5330031449985</v>
      </c>
      <c r="U40" s="7">
        <f t="shared" si="3"/>
        <v>6666.9543232707983</v>
      </c>
      <c r="V40" s="7">
        <f t="shared" si="3"/>
        <v>6933.6324962016297</v>
      </c>
      <c r="W40" s="7">
        <f t="shared" si="3"/>
        <v>6933.6324962016297</v>
      </c>
      <c r="X40" s="7">
        <f t="shared" si="3"/>
        <v>6933.6324962016297</v>
      </c>
      <c r="Y40" s="7">
        <f t="shared" si="3"/>
        <v>6933.6324962016297</v>
      </c>
      <c r="Z40" s="7">
        <f t="shared" si="3"/>
        <v>6933.6324962016297</v>
      </c>
      <c r="AA40" s="7">
        <f t="shared" si="3"/>
        <v>6933.6324962016297</v>
      </c>
      <c r="AB40" s="7">
        <f t="shared" si="3"/>
        <v>6933.6324962016297</v>
      </c>
      <c r="AC40" s="7">
        <f t="shared" si="3"/>
        <v>6933.6324962016297</v>
      </c>
      <c r="AD40" s="7">
        <f t="shared" si="3"/>
        <v>6933.6324962016297</v>
      </c>
      <c r="AE40" s="7">
        <f t="shared" si="3"/>
        <v>6933.6324962016297</v>
      </c>
      <c r="AF40" s="7">
        <f t="shared" si="3"/>
        <v>6933.6324962016297</v>
      </c>
    </row>
    <row r="41" spans="1:32">
      <c r="A41" s="3" t="s">
        <v>43</v>
      </c>
      <c r="B41" s="7"/>
      <c r="C41" s="7"/>
      <c r="D41" s="7"/>
      <c r="E41" s="7"/>
      <c r="F41" s="7"/>
      <c r="G41" s="7">
        <f>$B$18*$B$19*$B$13*$E$14*(1-$B$14)</f>
        <v>247.50000000000006</v>
      </c>
      <c r="H41" s="7">
        <f>$B$18*$B$19*$B$13*$E$14*(1-$B$14)</f>
        <v>247.50000000000006</v>
      </c>
      <c r="I41" s="7">
        <f>H41</f>
        <v>247.50000000000006</v>
      </c>
      <c r="J41" s="7">
        <f t="shared" ref="J41:AF41" si="4">I41</f>
        <v>247.50000000000006</v>
      </c>
      <c r="K41" s="7">
        <f t="shared" si="4"/>
        <v>247.50000000000006</v>
      </c>
      <c r="L41" s="7">
        <f t="shared" si="4"/>
        <v>247.50000000000006</v>
      </c>
      <c r="M41" s="7">
        <f t="shared" si="4"/>
        <v>247.50000000000006</v>
      </c>
      <c r="N41" s="7">
        <f t="shared" si="4"/>
        <v>247.50000000000006</v>
      </c>
      <c r="O41" s="7">
        <f t="shared" si="4"/>
        <v>247.50000000000006</v>
      </c>
      <c r="P41" s="7">
        <f t="shared" si="4"/>
        <v>247.50000000000006</v>
      </c>
      <c r="Q41" s="7">
        <f t="shared" si="4"/>
        <v>247.50000000000006</v>
      </c>
      <c r="R41" s="7">
        <f t="shared" si="4"/>
        <v>247.50000000000006</v>
      </c>
      <c r="S41" s="7">
        <f t="shared" si="4"/>
        <v>247.50000000000006</v>
      </c>
      <c r="T41" s="7">
        <f t="shared" si="4"/>
        <v>247.50000000000006</v>
      </c>
      <c r="U41" s="7">
        <f t="shared" si="4"/>
        <v>247.50000000000006</v>
      </c>
      <c r="V41" s="7">
        <f t="shared" si="4"/>
        <v>247.50000000000006</v>
      </c>
      <c r="W41" s="7">
        <f t="shared" si="4"/>
        <v>247.50000000000006</v>
      </c>
      <c r="X41" s="7">
        <f t="shared" si="4"/>
        <v>247.50000000000006</v>
      </c>
      <c r="Y41" s="7">
        <f t="shared" si="4"/>
        <v>247.50000000000006</v>
      </c>
      <c r="Z41" s="7">
        <f t="shared" si="4"/>
        <v>247.50000000000006</v>
      </c>
      <c r="AA41" s="7">
        <f t="shared" si="4"/>
        <v>247.50000000000006</v>
      </c>
      <c r="AB41" s="7">
        <f t="shared" si="4"/>
        <v>247.50000000000006</v>
      </c>
      <c r="AC41" s="7">
        <f t="shared" si="4"/>
        <v>247.50000000000006</v>
      </c>
      <c r="AD41" s="7">
        <f t="shared" si="4"/>
        <v>247.50000000000006</v>
      </c>
      <c r="AE41" s="7">
        <f t="shared" si="4"/>
        <v>247.50000000000006</v>
      </c>
      <c r="AF41" s="7">
        <f t="shared" si="4"/>
        <v>247.50000000000006</v>
      </c>
    </row>
    <row r="42" spans="1:32">
      <c r="A42" s="3" t="s">
        <v>44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>
      <c r="A43" s="3" t="s">
        <v>45</v>
      </c>
      <c r="B43" s="7">
        <f>-$B$20</f>
        <v>-25000</v>
      </c>
      <c r="C43" s="7">
        <f>-$B$20</f>
        <v>-25000</v>
      </c>
      <c r="D43" s="7">
        <f t="shared" ref="D43:AF43" si="5">-$B$20</f>
        <v>-25000</v>
      </c>
      <c r="E43" s="7">
        <f t="shared" si="5"/>
        <v>-25000</v>
      </c>
      <c r="F43" s="7">
        <f t="shared" si="5"/>
        <v>-25000</v>
      </c>
      <c r="G43" s="7">
        <f t="shared" si="5"/>
        <v>-25000</v>
      </c>
      <c r="H43" s="7">
        <f t="shared" si="5"/>
        <v>-25000</v>
      </c>
      <c r="I43" s="7">
        <f t="shared" si="5"/>
        <v>-25000</v>
      </c>
      <c r="J43" s="7">
        <f t="shared" si="5"/>
        <v>-25000</v>
      </c>
      <c r="K43" s="7">
        <f t="shared" si="5"/>
        <v>-25000</v>
      </c>
      <c r="L43" s="7">
        <f t="shared" si="5"/>
        <v>-25000</v>
      </c>
      <c r="M43" s="7">
        <f t="shared" si="5"/>
        <v>-25000</v>
      </c>
      <c r="N43" s="7">
        <f t="shared" si="5"/>
        <v>-25000</v>
      </c>
      <c r="O43" s="7">
        <f t="shared" si="5"/>
        <v>-25000</v>
      </c>
      <c r="P43" s="7">
        <f t="shared" si="5"/>
        <v>-25000</v>
      </c>
      <c r="Q43" s="7">
        <f t="shared" si="5"/>
        <v>-25000</v>
      </c>
      <c r="R43" s="7">
        <f t="shared" si="5"/>
        <v>-25000</v>
      </c>
      <c r="S43" s="7">
        <f t="shared" si="5"/>
        <v>-25000</v>
      </c>
      <c r="T43" s="7">
        <f t="shared" si="5"/>
        <v>-25000</v>
      </c>
      <c r="U43" s="7">
        <f t="shared" si="5"/>
        <v>-25000</v>
      </c>
      <c r="V43" s="7">
        <f t="shared" si="5"/>
        <v>-25000</v>
      </c>
      <c r="W43" s="7">
        <f t="shared" si="5"/>
        <v>-25000</v>
      </c>
      <c r="X43" s="7">
        <f t="shared" si="5"/>
        <v>-25000</v>
      </c>
      <c r="Y43" s="7">
        <f t="shared" si="5"/>
        <v>-25000</v>
      </c>
      <c r="Z43" s="7">
        <f t="shared" si="5"/>
        <v>-25000</v>
      </c>
      <c r="AA43" s="7">
        <f t="shared" si="5"/>
        <v>-25000</v>
      </c>
      <c r="AB43" s="7">
        <f t="shared" si="5"/>
        <v>-25000</v>
      </c>
      <c r="AC43" s="7">
        <f t="shared" si="5"/>
        <v>-25000</v>
      </c>
      <c r="AD43" s="7">
        <f t="shared" si="5"/>
        <v>-25000</v>
      </c>
      <c r="AE43" s="7">
        <f t="shared" si="5"/>
        <v>-25000</v>
      </c>
      <c r="AF43" s="7">
        <f t="shared" si="5"/>
        <v>-25000</v>
      </c>
    </row>
    <row r="44" spans="1:32">
      <c r="A44" s="31" t="s">
        <v>72</v>
      </c>
      <c r="B44" s="37">
        <v>-7000</v>
      </c>
      <c r="C44" s="37">
        <v>-11000</v>
      </c>
      <c r="D44" s="37">
        <v>-14000</v>
      </c>
      <c r="E44" s="37">
        <v>-17000</v>
      </c>
      <c r="F44" s="37">
        <v>-19000</v>
      </c>
      <c r="G44" s="37">
        <v>-21000</v>
      </c>
      <c r="H44" s="37">
        <v>-21000</v>
      </c>
      <c r="I44" s="35">
        <f t="shared" ref="I44:AF44" si="6">I54</f>
        <v>-21942.139556697603</v>
      </c>
      <c r="J44" s="35">
        <f t="shared" si="6"/>
        <v>-21182.139556697603</v>
      </c>
      <c r="K44" s="35">
        <f t="shared" si="6"/>
        <v>-20422.139556697603</v>
      </c>
      <c r="L44" s="35">
        <f t="shared" si="6"/>
        <v>-19662.139556697603</v>
      </c>
      <c r="M44" s="35">
        <f t="shared" si="6"/>
        <v>-18902.139556697603</v>
      </c>
      <c r="N44" s="35">
        <f t="shared" si="6"/>
        <v>-18142.139556697603</v>
      </c>
      <c r="O44" s="35">
        <f t="shared" si="6"/>
        <v>-17382.139556697603</v>
      </c>
      <c r="P44" s="35">
        <f t="shared" si="6"/>
        <v>-16622.139556697603</v>
      </c>
      <c r="Q44" s="35">
        <f t="shared" si="6"/>
        <v>-15862.139556697603</v>
      </c>
      <c r="R44" s="35">
        <f t="shared" si="6"/>
        <v>-15102.139556697603</v>
      </c>
      <c r="S44" s="35">
        <f t="shared" si="6"/>
        <v>-14342.139556697603</v>
      </c>
      <c r="T44" s="35">
        <f t="shared" si="6"/>
        <v>-13582.139556697603</v>
      </c>
      <c r="U44" s="35">
        <f t="shared" si="6"/>
        <v>-12822.139556697603</v>
      </c>
      <c r="V44" s="35">
        <f t="shared" si="6"/>
        <v>-12062.139556697603</v>
      </c>
      <c r="W44" s="35">
        <f t="shared" si="6"/>
        <v>-11302.139556697603</v>
      </c>
      <c r="X44" s="35">
        <f t="shared" si="6"/>
        <v>-10542.139556697603</v>
      </c>
      <c r="Y44" s="35">
        <f t="shared" si="6"/>
        <v>-9782.1395566976025</v>
      </c>
      <c r="Z44" s="35">
        <f t="shared" si="6"/>
        <v>-9022.1395566976025</v>
      </c>
      <c r="AA44" s="35">
        <f t="shared" si="6"/>
        <v>-8262.1395566976025</v>
      </c>
      <c r="AB44" s="35">
        <f t="shared" si="6"/>
        <v>-7502.1395566976025</v>
      </c>
      <c r="AC44" s="35">
        <f t="shared" si="6"/>
        <v>-6742.1395566976025</v>
      </c>
      <c r="AD44" s="35">
        <f t="shared" si="6"/>
        <v>-5982.1395566976025</v>
      </c>
      <c r="AE44" s="35">
        <f t="shared" si="6"/>
        <v>-5222.1395566976025</v>
      </c>
      <c r="AF44" s="35">
        <f t="shared" si="6"/>
        <v>-4462.1395566976025</v>
      </c>
    </row>
    <row r="45" spans="1:32">
      <c r="A45" s="32" t="s">
        <v>46</v>
      </c>
      <c r="B45" s="33"/>
      <c r="C45" s="33">
        <f>IF(SUM(C38:C44)&gt;0,-$L$25*SUM(C38:C43),0)</f>
        <v>0</v>
      </c>
      <c r="D45" s="33">
        <f t="shared" ref="D45:G45" si="7">IF(SUM(D38:D44)&gt;0,-$L$25*SUM(D38:D43),0)</f>
        <v>0</v>
      </c>
      <c r="E45" s="33">
        <f t="shared" si="7"/>
        <v>0</v>
      </c>
      <c r="F45" s="33">
        <f t="shared" si="7"/>
        <v>0</v>
      </c>
      <c r="G45" s="33">
        <f t="shared" si="7"/>
        <v>-5774.375</v>
      </c>
      <c r="H45" s="33">
        <f t="shared" ref="H45:AF45" si="8">IF(SUM(H38:H44)&gt;0,-$L$25*SUM(H38:H44),0)</f>
        <v>-947.875</v>
      </c>
      <c r="I45" s="33">
        <f t="shared" si="8"/>
        <v>-1152.7801108256017</v>
      </c>
      <c r="J45" s="33">
        <f t="shared" si="8"/>
        <v>-1800.8377108256</v>
      </c>
      <c r="K45" s="33">
        <f t="shared" si="8"/>
        <v>-2467.2176148256031</v>
      </c>
      <c r="L45" s="33">
        <f t="shared" si="8"/>
        <v>-3152.6527149856038</v>
      </c>
      <c r="M45" s="33">
        <f t="shared" si="8"/>
        <v>-3857.9052191520032</v>
      </c>
      <c r="N45" s="33">
        <f t="shared" si="8"/>
        <v>-4583.7678234850582</v>
      </c>
      <c r="O45" s="33">
        <f t="shared" si="8"/>
        <v>-5331.0649319914382</v>
      </c>
      <c r="P45" s="33">
        <f t="shared" si="8"/>
        <v>-6100.653924838075</v>
      </c>
      <c r="Q45" s="33">
        <f t="shared" si="8"/>
        <v>-6893.4264773985733</v>
      </c>
      <c r="R45" s="33">
        <f t="shared" si="8"/>
        <v>-7710.309932061492</v>
      </c>
      <c r="S45" s="33">
        <f t="shared" si="8"/>
        <v>-8552.2687249109294</v>
      </c>
      <c r="T45" s="33">
        <f t="shared" si="8"/>
        <v>-9420.3058694743449</v>
      </c>
      <c r="U45" s="33">
        <f t="shared" si="8"/>
        <v>-10315.464499820293</v>
      </c>
      <c r="V45" s="33">
        <f t="shared" si="8"/>
        <v>-11238.82947538008</v>
      </c>
      <c r="W45" s="33">
        <f t="shared" si="8"/>
        <v>-11428.82947538008</v>
      </c>
      <c r="X45" s="33">
        <f t="shared" si="8"/>
        <v>-11618.82947538008</v>
      </c>
      <c r="Y45" s="33">
        <f t="shared" si="8"/>
        <v>-11808.82947538008</v>
      </c>
      <c r="Z45" s="33">
        <f t="shared" si="8"/>
        <v>-11998.82947538008</v>
      </c>
      <c r="AA45" s="33">
        <f t="shared" si="8"/>
        <v>-12188.82947538008</v>
      </c>
      <c r="AB45" s="33">
        <f t="shared" si="8"/>
        <v>-12378.82947538008</v>
      </c>
      <c r="AC45" s="33">
        <f t="shared" si="8"/>
        <v>-12568.82947538008</v>
      </c>
      <c r="AD45" s="33">
        <f t="shared" si="8"/>
        <v>-12758.82947538008</v>
      </c>
      <c r="AE45" s="33">
        <f t="shared" si="8"/>
        <v>-12948.82947538008</v>
      </c>
      <c r="AF45" s="33">
        <f t="shared" si="8"/>
        <v>-13138.82947538008</v>
      </c>
    </row>
    <row r="46" spans="1:32" s="29" customFormat="1">
      <c r="A46" s="34" t="s">
        <v>73</v>
      </c>
      <c r="B46" s="36">
        <f>-B44</f>
        <v>7000</v>
      </c>
      <c r="C46" s="36">
        <f t="shared" ref="C46:AF46" si="9">-C44</f>
        <v>11000</v>
      </c>
      <c r="D46" s="36">
        <f t="shared" si="9"/>
        <v>14000</v>
      </c>
      <c r="E46" s="36">
        <f t="shared" si="9"/>
        <v>17000</v>
      </c>
      <c r="F46" s="36">
        <f t="shared" si="9"/>
        <v>19000</v>
      </c>
      <c r="G46" s="36">
        <f t="shared" si="9"/>
        <v>21000</v>
      </c>
      <c r="H46" s="36">
        <f t="shared" si="9"/>
        <v>21000</v>
      </c>
      <c r="I46" s="36">
        <f t="shared" si="9"/>
        <v>21942.139556697603</v>
      </c>
      <c r="J46" s="36">
        <f t="shared" si="9"/>
        <v>21182.139556697603</v>
      </c>
      <c r="K46" s="36">
        <f t="shared" si="9"/>
        <v>20422.139556697603</v>
      </c>
      <c r="L46" s="36">
        <f t="shared" si="9"/>
        <v>19662.139556697603</v>
      </c>
      <c r="M46" s="36">
        <f t="shared" si="9"/>
        <v>18902.139556697603</v>
      </c>
      <c r="N46" s="36">
        <f t="shared" si="9"/>
        <v>18142.139556697603</v>
      </c>
      <c r="O46" s="36">
        <f t="shared" si="9"/>
        <v>17382.139556697603</v>
      </c>
      <c r="P46" s="36">
        <f t="shared" si="9"/>
        <v>16622.139556697603</v>
      </c>
      <c r="Q46" s="36">
        <f t="shared" si="9"/>
        <v>15862.139556697603</v>
      </c>
      <c r="R46" s="36">
        <f t="shared" si="9"/>
        <v>15102.139556697603</v>
      </c>
      <c r="S46" s="36">
        <f t="shared" si="9"/>
        <v>14342.139556697603</v>
      </c>
      <c r="T46" s="36">
        <f t="shared" si="9"/>
        <v>13582.139556697603</v>
      </c>
      <c r="U46" s="36">
        <f t="shared" si="9"/>
        <v>12822.139556697603</v>
      </c>
      <c r="V46" s="36">
        <f t="shared" si="9"/>
        <v>12062.139556697603</v>
      </c>
      <c r="W46" s="36">
        <f t="shared" si="9"/>
        <v>11302.139556697603</v>
      </c>
      <c r="X46" s="36">
        <f t="shared" si="9"/>
        <v>10542.139556697603</v>
      </c>
      <c r="Y46" s="36">
        <f t="shared" si="9"/>
        <v>9782.1395566976025</v>
      </c>
      <c r="Z46" s="36">
        <f t="shared" si="9"/>
        <v>9022.1395566976025</v>
      </c>
      <c r="AA46" s="36">
        <f t="shared" si="9"/>
        <v>8262.1395566976025</v>
      </c>
      <c r="AB46" s="36">
        <f t="shared" si="9"/>
        <v>7502.1395566976025</v>
      </c>
      <c r="AC46" s="36">
        <f t="shared" si="9"/>
        <v>6742.1395566976025</v>
      </c>
      <c r="AD46" s="36">
        <f t="shared" si="9"/>
        <v>5982.1395566976025</v>
      </c>
      <c r="AE46" s="36">
        <f t="shared" si="9"/>
        <v>5222.1395566976025</v>
      </c>
      <c r="AF46" s="36">
        <f t="shared" si="9"/>
        <v>4462.1395566976025</v>
      </c>
    </row>
    <row r="47" spans="1:32">
      <c r="A47" t="s">
        <v>47</v>
      </c>
      <c r="B47" s="7">
        <f>SUM(B33:B46)</f>
        <v>-190000</v>
      </c>
      <c r="C47" s="7">
        <f t="shared" ref="C47:AF47" si="10">SUM(C33:C46)</f>
        <v>-93750</v>
      </c>
      <c r="D47" s="7">
        <f t="shared" si="10"/>
        <v>-52500</v>
      </c>
      <c r="E47" s="7">
        <f t="shared" si="10"/>
        <v>-38750</v>
      </c>
      <c r="F47" s="7">
        <f t="shared" si="10"/>
        <v>-25000</v>
      </c>
      <c r="G47" s="7">
        <f t="shared" si="10"/>
        <v>17323.125</v>
      </c>
      <c r="H47" s="7">
        <f t="shared" si="10"/>
        <v>23843.625</v>
      </c>
      <c r="I47" s="7">
        <f t="shared" si="10"/>
        <v>25400.479889174407</v>
      </c>
      <c r="J47" s="7">
        <f t="shared" si="10"/>
        <v>26584.652689174403</v>
      </c>
      <c r="K47" s="7">
        <f t="shared" si="10"/>
        <v>27823.792401174411</v>
      </c>
      <c r="L47" s="7">
        <f t="shared" si="10"/>
        <v>29120.097701654413</v>
      </c>
      <c r="M47" s="7">
        <f t="shared" si="10"/>
        <v>30475.855214153613</v>
      </c>
      <c r="N47" s="7">
        <f t="shared" si="10"/>
        <v>31893.443027152778</v>
      </c>
      <c r="O47" s="7">
        <f t="shared" si="10"/>
        <v>33375.334352671918</v>
      </c>
      <c r="P47" s="7">
        <f t="shared" si="10"/>
        <v>34924.10133121183</v>
      </c>
      <c r="Q47" s="7">
        <f t="shared" si="10"/>
        <v>36542.418988893318</v>
      </c>
      <c r="R47" s="7">
        <f t="shared" si="10"/>
        <v>38233.069352882078</v>
      </c>
      <c r="S47" s="7">
        <f t="shared" si="10"/>
        <v>39998.945731430387</v>
      </c>
      <c r="T47" s="7">
        <f t="shared" si="10"/>
        <v>41843.057165120641</v>
      </c>
      <c r="U47" s="7">
        <f t="shared" si="10"/>
        <v>43768.533056158485</v>
      </c>
      <c r="V47" s="7">
        <f t="shared" si="10"/>
        <v>-22971.37201716215</v>
      </c>
      <c r="W47" s="7">
        <f t="shared" si="10"/>
        <v>24963.627982837847</v>
      </c>
      <c r="X47" s="7">
        <f t="shared" si="10"/>
        <v>45398.627982837847</v>
      </c>
      <c r="Y47" s="7">
        <f t="shared" si="10"/>
        <v>45208.627982837847</v>
      </c>
      <c r="Z47" s="7">
        <f t="shared" si="10"/>
        <v>45018.627982837847</v>
      </c>
      <c r="AA47" s="7">
        <f t="shared" si="10"/>
        <v>44828.627982837847</v>
      </c>
      <c r="AB47" s="7">
        <f t="shared" si="10"/>
        <v>44638.627982837847</v>
      </c>
      <c r="AC47" s="7">
        <f t="shared" si="10"/>
        <v>44448.627982837847</v>
      </c>
      <c r="AD47" s="7">
        <f t="shared" si="10"/>
        <v>44258.627982837847</v>
      </c>
      <c r="AE47" s="7">
        <f t="shared" si="10"/>
        <v>44068.627982837847</v>
      </c>
      <c r="AF47" s="7">
        <f t="shared" si="10"/>
        <v>98878.627982837847</v>
      </c>
    </row>
    <row r="48" spans="1:32">
      <c r="A48" s="29" t="s">
        <v>48</v>
      </c>
      <c r="B48" s="21">
        <f t="shared" ref="B48:AF48" si="11">B47/(1+$B$25)^B31</f>
        <v>-190000</v>
      </c>
      <c r="C48" s="21">
        <f t="shared" si="11"/>
        <v>-90144.230769230766</v>
      </c>
      <c r="D48" s="21">
        <f t="shared" si="11"/>
        <v>-48539.201183431949</v>
      </c>
      <c r="E48" s="21">
        <f t="shared" si="11"/>
        <v>-34448.608898497951</v>
      </c>
      <c r="F48" s="21">
        <f t="shared" si="11"/>
        <v>-21370.104775743141</v>
      </c>
      <c r="G48" s="21">
        <f t="shared" si="11"/>
        <v>14238.346011280591</v>
      </c>
      <c r="H48" s="21">
        <f t="shared" si="11"/>
        <v>18843.963183562446</v>
      </c>
      <c r="I48" s="21">
        <f t="shared" si="11"/>
        <v>19302.277131664399</v>
      </c>
      <c r="J48" s="21">
        <f t="shared" si="11"/>
        <v>19425.145323359386</v>
      </c>
      <c r="K48" s="21">
        <f t="shared" si="11"/>
        <v>19548.6274745642</v>
      </c>
      <c r="L48" s="21">
        <f t="shared" si="11"/>
        <v>19672.49459994421</v>
      </c>
      <c r="M48" s="21">
        <f t="shared" si="11"/>
        <v>19796.534420197178</v>
      </c>
      <c r="N48" s="21">
        <f t="shared" si="11"/>
        <v>19920.550415709527</v>
      </c>
      <c r="O48" s="21">
        <f t="shared" si="11"/>
        <v>20044.360928295264</v>
      </c>
      <c r="P48" s="21">
        <f t="shared" si="11"/>
        <v>20167.798308718688</v>
      </c>
      <c r="Q48" s="21">
        <f t="shared" si="11"/>
        <v>20290.708107807979</v>
      </c>
      <c r="R48" s="21">
        <f t="shared" si="11"/>
        <v>20412.948309067509</v>
      </c>
      <c r="S48" s="21">
        <f t="shared" si="11"/>
        <v>20534.388600793227</v>
      </c>
      <c r="T48" s="21">
        <f t="shared" si="11"/>
        <v>20654.909685787647</v>
      </c>
      <c r="U48" s="21">
        <f t="shared" si="11"/>
        <v>20774.402626858893</v>
      </c>
      <c r="V48" s="21">
        <f t="shared" si="11"/>
        <v>-10483.834324966449</v>
      </c>
      <c r="W48" s="21">
        <f t="shared" si="11"/>
        <v>10954.878789608156</v>
      </c>
      <c r="X48" s="21">
        <f t="shared" si="11"/>
        <v>19156.19562390522</v>
      </c>
      <c r="Y48" s="21">
        <f t="shared" si="11"/>
        <v>18342.330865809236</v>
      </c>
      <c r="Z48" s="21">
        <f t="shared" si="11"/>
        <v>17562.733521614267</v>
      </c>
      <c r="AA48" s="21">
        <f t="shared" si="11"/>
        <v>16815.971578354693</v>
      </c>
      <c r="AB48" s="21">
        <f t="shared" si="11"/>
        <v>16100.672486467731</v>
      </c>
      <c r="AC48" s="21">
        <f t="shared" si="11"/>
        <v>15415.52070404788</v>
      </c>
      <c r="AD48" s="21">
        <f t="shared" si="11"/>
        <v>14759.255342041286</v>
      </c>
      <c r="AE48" s="21">
        <f t="shared" si="11"/>
        <v>14130.667906248151</v>
      </c>
      <c r="AF48" s="21">
        <f t="shared" si="11"/>
        <v>30486.126870707929</v>
      </c>
    </row>
    <row r="49" spans="1:3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>
      <c r="A50" s="22" t="s">
        <v>49</v>
      </c>
      <c r="B50" s="20">
        <f t="shared" ref="B50:AF50" si="12">B31</f>
        <v>0</v>
      </c>
      <c r="C50" s="20">
        <f t="shared" si="12"/>
        <v>1</v>
      </c>
      <c r="D50" s="20">
        <f t="shared" si="12"/>
        <v>2</v>
      </c>
      <c r="E50" s="20">
        <f t="shared" si="12"/>
        <v>3</v>
      </c>
      <c r="F50" s="20">
        <f t="shared" si="12"/>
        <v>4</v>
      </c>
      <c r="G50" s="20">
        <f t="shared" si="12"/>
        <v>5</v>
      </c>
      <c r="H50" s="20">
        <f t="shared" si="12"/>
        <v>6</v>
      </c>
      <c r="I50" s="20">
        <f t="shared" si="12"/>
        <v>7</v>
      </c>
      <c r="J50" s="20">
        <f t="shared" si="12"/>
        <v>8</v>
      </c>
      <c r="K50" s="20">
        <f t="shared" si="12"/>
        <v>9</v>
      </c>
      <c r="L50" s="20">
        <f t="shared" si="12"/>
        <v>10</v>
      </c>
      <c r="M50" s="20">
        <f t="shared" si="12"/>
        <v>11</v>
      </c>
      <c r="N50" s="20">
        <f t="shared" si="12"/>
        <v>12</v>
      </c>
      <c r="O50" s="20">
        <f t="shared" si="12"/>
        <v>13</v>
      </c>
      <c r="P50" s="20">
        <f t="shared" si="12"/>
        <v>14</v>
      </c>
      <c r="Q50" s="20">
        <f t="shared" si="12"/>
        <v>15</v>
      </c>
      <c r="R50" s="20">
        <f t="shared" si="12"/>
        <v>16</v>
      </c>
      <c r="S50" s="20">
        <f t="shared" si="12"/>
        <v>17</v>
      </c>
      <c r="T50" s="20">
        <f t="shared" si="12"/>
        <v>18</v>
      </c>
      <c r="U50" s="20">
        <f t="shared" si="12"/>
        <v>19</v>
      </c>
      <c r="V50" s="20">
        <f t="shared" si="12"/>
        <v>20</v>
      </c>
      <c r="W50" s="20">
        <f t="shared" si="12"/>
        <v>21</v>
      </c>
      <c r="X50" s="20">
        <f t="shared" si="12"/>
        <v>22</v>
      </c>
      <c r="Y50" s="20">
        <f t="shared" si="12"/>
        <v>23</v>
      </c>
      <c r="Z50" s="20">
        <f t="shared" si="12"/>
        <v>24</v>
      </c>
      <c r="AA50" s="20">
        <f t="shared" si="12"/>
        <v>25</v>
      </c>
      <c r="AB50" s="20">
        <f t="shared" si="12"/>
        <v>26</v>
      </c>
      <c r="AC50" s="20">
        <f t="shared" si="12"/>
        <v>27</v>
      </c>
      <c r="AD50" s="20">
        <f t="shared" si="12"/>
        <v>28</v>
      </c>
      <c r="AE50" s="20">
        <f t="shared" si="12"/>
        <v>29</v>
      </c>
      <c r="AF50" s="20">
        <f t="shared" si="12"/>
        <v>30</v>
      </c>
    </row>
    <row r="51" spans="1:32">
      <c r="A51" s="14" t="s">
        <v>50</v>
      </c>
      <c r="B51" s="15">
        <f>B22</f>
        <v>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>
      <c r="A52" t="s">
        <v>51</v>
      </c>
      <c r="B52" s="7"/>
      <c r="C52" s="7">
        <f>B53-B55-B54</f>
        <v>197600</v>
      </c>
      <c r="D52" s="7">
        <f>C52+C53-C55-C54</f>
        <v>315224</v>
      </c>
      <c r="E52" s="7">
        <f>D52+D53-D55-D54</f>
        <v>400632.96</v>
      </c>
      <c r="F52" s="7">
        <f>E52+E53-E55-E54</f>
        <v>473858.27840000001</v>
      </c>
      <c r="G52" s="7">
        <f>F52+F53-F55-F54</f>
        <v>539612.60953600006</v>
      </c>
      <c r="H52" s="7">
        <f>G52+G53-G55-H47-G54</f>
        <v>542553.48891744006</v>
      </c>
      <c r="I52" s="7">
        <f>H52+H53+H55</f>
        <v>548553.48891744006</v>
      </c>
      <c r="J52" s="7">
        <f t="shared" ref="J52:AF52" si="13">I52+I53+I55</f>
        <v>529553.48891744006</v>
      </c>
      <c r="K52" s="7">
        <f t="shared" si="13"/>
        <v>510553.48891744006</v>
      </c>
      <c r="L52" s="7">
        <f t="shared" si="13"/>
        <v>491553.48891744006</v>
      </c>
      <c r="M52" s="7">
        <f t="shared" si="13"/>
        <v>472553.48891744006</v>
      </c>
      <c r="N52" s="7">
        <f t="shared" si="13"/>
        <v>453553.48891744006</v>
      </c>
      <c r="O52" s="7">
        <f t="shared" si="13"/>
        <v>434553.48891744006</v>
      </c>
      <c r="P52" s="7">
        <f t="shared" si="13"/>
        <v>415553.48891744006</v>
      </c>
      <c r="Q52" s="7">
        <f t="shared" si="13"/>
        <v>396553.48891744006</v>
      </c>
      <c r="R52" s="7">
        <f t="shared" si="13"/>
        <v>377553.48891744006</v>
      </c>
      <c r="S52" s="7">
        <f t="shared" si="13"/>
        <v>358553.48891744006</v>
      </c>
      <c r="T52" s="7">
        <f t="shared" si="13"/>
        <v>339553.48891744006</v>
      </c>
      <c r="U52" s="7">
        <f t="shared" si="13"/>
        <v>320553.48891744006</v>
      </c>
      <c r="V52" s="7">
        <f t="shared" si="13"/>
        <v>301553.48891744006</v>
      </c>
      <c r="W52" s="7">
        <f t="shared" si="13"/>
        <v>282553.48891744006</v>
      </c>
      <c r="X52" s="7">
        <f t="shared" si="13"/>
        <v>263553.48891744006</v>
      </c>
      <c r="Y52" s="7">
        <f t="shared" si="13"/>
        <v>244553.48891744006</v>
      </c>
      <c r="Z52" s="7">
        <f t="shared" si="13"/>
        <v>225553.48891744006</v>
      </c>
      <c r="AA52" s="7">
        <f t="shared" si="13"/>
        <v>206553.48891744006</v>
      </c>
      <c r="AB52" s="7">
        <f t="shared" si="13"/>
        <v>187553.48891744006</v>
      </c>
      <c r="AC52" s="7">
        <f t="shared" si="13"/>
        <v>168553.48891744006</v>
      </c>
      <c r="AD52" s="7">
        <f t="shared" si="13"/>
        <v>149553.48891744006</v>
      </c>
      <c r="AE52" s="7">
        <f t="shared" si="13"/>
        <v>130553.48891744006</v>
      </c>
      <c r="AF52" s="7">
        <f t="shared" si="13"/>
        <v>111553.48891744006</v>
      </c>
    </row>
    <row r="53" spans="1:32" s="18" customFormat="1">
      <c r="A53" s="16" t="s">
        <v>58</v>
      </c>
      <c r="B53" s="7">
        <f>-B47-B56</f>
        <v>190000</v>
      </c>
      <c r="C53" s="7">
        <f>-FLOOR(C47*(1+$B$23)^3,500)</f>
        <v>105500</v>
      </c>
      <c r="D53" s="7">
        <f>-FLOOR(D47+(-D52*$B$23),5000)</f>
        <v>70000</v>
      </c>
      <c r="E53" s="7">
        <f>-FLOOR(E47+(-E52*$B$23),5000)</f>
        <v>55000</v>
      </c>
      <c r="F53" s="7">
        <f>-FLOOR(F47+(-F52*$B$23),5000)</f>
        <v>45000</v>
      </c>
      <c r="G53" s="7">
        <f>-FLOOR(G47+(-G52*$B$23),5000)</f>
        <v>5000</v>
      </c>
      <c r="H53" s="7">
        <f>-FLOOR((-H52*$B$23),5000)</f>
        <v>25000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s="18" customFormat="1">
      <c r="A54" s="3" t="s">
        <v>52</v>
      </c>
      <c r="B54" s="17">
        <f>-$B$23*B53</f>
        <v>-7600</v>
      </c>
      <c r="C54" s="17">
        <f>-$B$23*(C52+C53)</f>
        <v>-12124</v>
      </c>
      <c r="D54" s="17">
        <f>-$B$23*(D52+D53)</f>
        <v>-15408.960000000001</v>
      </c>
      <c r="E54" s="17">
        <f>-$B$23*(E52+E53)</f>
        <v>-18225.3184</v>
      </c>
      <c r="F54" s="17">
        <f>-$B$23*(F52+F53)</f>
        <v>-20754.331136000001</v>
      </c>
      <c r="G54" s="17">
        <f>-$B$23*(G52+G53)</f>
        <v>-21784.504381440001</v>
      </c>
      <c r="H54" s="17">
        <f>-$B$23*H52</f>
        <v>-21702.139556697603</v>
      </c>
      <c r="I54" s="17">
        <f t="shared" ref="I54:AF54" si="14">-$B$23*I52</f>
        <v>-21942.139556697603</v>
      </c>
      <c r="J54" s="17">
        <f t="shared" si="14"/>
        <v>-21182.139556697603</v>
      </c>
      <c r="K54" s="17">
        <f t="shared" si="14"/>
        <v>-20422.139556697603</v>
      </c>
      <c r="L54" s="17">
        <f t="shared" si="14"/>
        <v>-19662.139556697603</v>
      </c>
      <c r="M54" s="17">
        <f t="shared" si="14"/>
        <v>-18902.139556697603</v>
      </c>
      <c r="N54" s="17">
        <f t="shared" si="14"/>
        <v>-18142.139556697603</v>
      </c>
      <c r="O54" s="17">
        <f t="shared" si="14"/>
        <v>-17382.139556697603</v>
      </c>
      <c r="P54" s="17">
        <f t="shared" si="14"/>
        <v>-16622.139556697603</v>
      </c>
      <c r="Q54" s="17">
        <f t="shared" si="14"/>
        <v>-15862.139556697603</v>
      </c>
      <c r="R54" s="17">
        <f t="shared" si="14"/>
        <v>-15102.139556697603</v>
      </c>
      <c r="S54" s="17">
        <f t="shared" si="14"/>
        <v>-14342.139556697603</v>
      </c>
      <c r="T54" s="17">
        <f t="shared" si="14"/>
        <v>-13582.139556697603</v>
      </c>
      <c r="U54" s="17">
        <f t="shared" si="14"/>
        <v>-12822.139556697603</v>
      </c>
      <c r="V54" s="17">
        <f t="shared" si="14"/>
        <v>-12062.139556697603</v>
      </c>
      <c r="W54" s="17">
        <f t="shared" si="14"/>
        <v>-11302.139556697603</v>
      </c>
      <c r="X54" s="17">
        <f t="shared" si="14"/>
        <v>-10542.139556697603</v>
      </c>
      <c r="Y54" s="17">
        <f t="shared" si="14"/>
        <v>-9782.1395566976025</v>
      </c>
      <c r="Z54" s="17">
        <f t="shared" si="14"/>
        <v>-9022.1395566976025</v>
      </c>
      <c r="AA54" s="17">
        <f t="shared" si="14"/>
        <v>-8262.1395566976025</v>
      </c>
      <c r="AB54" s="17">
        <f t="shared" si="14"/>
        <v>-7502.1395566976025</v>
      </c>
      <c r="AC54" s="17">
        <f t="shared" si="14"/>
        <v>-6742.1395566976025</v>
      </c>
      <c r="AD54" s="17">
        <f t="shared" si="14"/>
        <v>-5982.1395566976025</v>
      </c>
      <c r="AE54" s="17">
        <f t="shared" si="14"/>
        <v>-5222.1395566976025</v>
      </c>
      <c r="AF54" s="17">
        <f t="shared" si="14"/>
        <v>-4462.1395566976025</v>
      </c>
    </row>
    <row r="55" spans="1:32" s="18" customFormat="1">
      <c r="A55" s="3" t="s">
        <v>53</v>
      </c>
      <c r="B55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17">
        <f t="shared" ref="H55:V55" si="15">-CEILING((1/$B$24)*($H$52+$H$53),500)</f>
        <v>-19000</v>
      </c>
      <c r="I55" s="17">
        <f t="shared" si="15"/>
        <v>-19000</v>
      </c>
      <c r="J55" s="17">
        <f t="shared" si="15"/>
        <v>-19000</v>
      </c>
      <c r="K55" s="17">
        <f t="shared" si="15"/>
        <v>-19000</v>
      </c>
      <c r="L55" s="17">
        <f t="shared" si="15"/>
        <v>-19000</v>
      </c>
      <c r="M55" s="17">
        <f t="shared" si="15"/>
        <v>-19000</v>
      </c>
      <c r="N55" s="17">
        <f t="shared" si="15"/>
        <v>-19000</v>
      </c>
      <c r="O55" s="17">
        <f t="shared" si="15"/>
        <v>-19000</v>
      </c>
      <c r="P55" s="17">
        <f t="shared" si="15"/>
        <v>-19000</v>
      </c>
      <c r="Q55" s="17">
        <f t="shared" si="15"/>
        <v>-19000</v>
      </c>
      <c r="R55" s="17">
        <f t="shared" si="15"/>
        <v>-19000</v>
      </c>
      <c r="S55" s="17">
        <f t="shared" si="15"/>
        <v>-19000</v>
      </c>
      <c r="T55" s="17">
        <f t="shared" si="15"/>
        <v>-19000</v>
      </c>
      <c r="U55" s="17">
        <f t="shared" si="15"/>
        <v>-19000</v>
      </c>
      <c r="V55" s="17">
        <f t="shared" si="15"/>
        <v>-19000</v>
      </c>
      <c r="W55" s="17">
        <f>IF(W52&gt;0,-CEILING((1/$B$24)*($H$52+$H$53),500),0)</f>
        <v>-19000</v>
      </c>
      <c r="X55" s="17">
        <f>IF(X52&gt;0,-CEILING((1/$B$24)*($H$52+$H$53),500),0)</f>
        <v>-19000</v>
      </c>
      <c r="Y55" s="17">
        <f>IF(Y52&gt;0,-CEILING((1/$B$24)*($H$52+$H$53),500),0)</f>
        <v>-19000</v>
      </c>
      <c r="Z55" s="17">
        <f>IF(Z52&gt;0,-CEILING((1/$B$24)*($H$52+$H$53),500),0)</f>
        <v>-19000</v>
      </c>
      <c r="AA55" s="17">
        <f>IF(AA52&lt;ABS(-CEILING((1/$B$24)*($H$52+$H$53),500)),-AA52,-CEILING((1/$B$24)*($H$52+$H$53),500))</f>
        <v>-19000</v>
      </c>
      <c r="AB55" s="17">
        <f>IF(AB52&lt;ABS(-CEILING((1/$B$24)*($H$52+$H$53),500)),-AB52,-CEILING((1/$B$24)*($H$52+$H$53),500))</f>
        <v>-19000</v>
      </c>
      <c r="AC55" s="17">
        <f>IF(AC52&lt;ABS(-CEILING((1/$B$24)*($H$52+$H$53),500)),-AC52,-CEILING((1/$B$24)*($H$52+$H$53),500))</f>
        <v>-19000</v>
      </c>
      <c r="AD55" s="17">
        <f>IF(AD52&lt;ABS(-CEILING((1/$B$24)*($H$52+$H$53),500)),-AD52,-CEILING((1/$B$24)*($H$52+$H$53),500))</f>
        <v>-19000</v>
      </c>
      <c r="AE55" s="17">
        <f>IF(AE52&lt;ABS(-CEILING((1/$B$24)*($H$52+$H$53),500)),-AE52,-CEILING((1/$B$24)*($H$52+$H$53),500))</f>
        <v>-19000</v>
      </c>
      <c r="AF55" s="17">
        <f>-MAX(AF52,(-(1/$B$24)*($H$52+$H$53)))</f>
        <v>-111553.48891744006</v>
      </c>
    </row>
    <row r="56" spans="1:32" s="18" customFormat="1">
      <c r="A56" t="s">
        <v>54</v>
      </c>
      <c r="B56" s="7">
        <f>B21</f>
        <v>0</v>
      </c>
      <c r="C56" s="7"/>
      <c r="D56" s="7"/>
      <c r="E56" s="7"/>
      <c r="F56" s="7"/>
      <c r="G56" s="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s="18" customFormat="1">
      <c r="A57" s="28" t="s">
        <v>55</v>
      </c>
      <c r="B57" s="21"/>
      <c r="C57" s="21"/>
      <c r="D57" s="21"/>
      <c r="E57" s="21"/>
      <c r="F57" s="21"/>
      <c r="G57" s="21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s="18" customFormat="1">
      <c r="A58" s="13" t="s">
        <v>49</v>
      </c>
      <c r="B58" s="7">
        <f>B47+B51+B53+B56</f>
        <v>0</v>
      </c>
      <c r="C58" s="7">
        <f>C47+C53+B59+C54</f>
        <v>-374</v>
      </c>
      <c r="D58" s="7">
        <f>D47+D53+C59+D54</f>
        <v>1717.0399999999991</v>
      </c>
      <c r="E58" s="7">
        <f t="shared" ref="E58:G58" si="16">E47+E53+D59+E54</f>
        <v>-632.27839999999924</v>
      </c>
      <c r="F58" s="7">
        <f t="shared" si="16"/>
        <v>-43.569536000002699</v>
      </c>
      <c r="G58" s="7">
        <f t="shared" si="16"/>
        <v>1205.8126825599938</v>
      </c>
      <c r="H58" s="17">
        <f>H47+H53+H54+H55</f>
        <v>8141.4854433023975</v>
      </c>
      <c r="I58" s="17">
        <f t="shared" ref="I58:AF58" si="17">I47+I53+I54+I55</f>
        <v>-15541.659667523196</v>
      </c>
      <c r="J58" s="17">
        <f t="shared" si="17"/>
        <v>-13597.486867523199</v>
      </c>
      <c r="K58" s="17">
        <f>K47+K53+K54+K55</f>
        <v>-11598.347155523192</v>
      </c>
      <c r="L58" s="17">
        <f t="shared" si="17"/>
        <v>-9542.0418550431896</v>
      </c>
      <c r="M58" s="17">
        <f t="shared" si="17"/>
        <v>-7426.2843425439896</v>
      </c>
      <c r="N58" s="17">
        <f t="shared" si="17"/>
        <v>-5248.6965295448244</v>
      </c>
      <c r="O58" s="17">
        <f t="shared" si="17"/>
        <v>-3006.8052040256844</v>
      </c>
      <c r="P58" s="17">
        <f t="shared" si="17"/>
        <v>-698.03822548577227</v>
      </c>
      <c r="Q58" s="17">
        <f t="shared" si="17"/>
        <v>1680.2794321957153</v>
      </c>
      <c r="R58" s="17">
        <f t="shared" si="17"/>
        <v>4130.929796184475</v>
      </c>
      <c r="S58" s="17">
        <f t="shared" si="17"/>
        <v>6656.8061747327847</v>
      </c>
      <c r="T58" s="17">
        <f t="shared" si="17"/>
        <v>9260.9176084230385</v>
      </c>
      <c r="U58" s="17">
        <f t="shared" si="17"/>
        <v>11946.393499460883</v>
      </c>
      <c r="V58" s="17">
        <f t="shared" si="17"/>
        <v>-54033.511573859752</v>
      </c>
      <c r="W58" s="17">
        <f t="shared" si="17"/>
        <v>-5338.511573859756</v>
      </c>
      <c r="X58" s="17">
        <f t="shared" si="17"/>
        <v>15856.488426140248</v>
      </c>
      <c r="Y58" s="17">
        <f t="shared" si="17"/>
        <v>16426.488426140248</v>
      </c>
      <c r="Z58" s="17">
        <f t="shared" si="17"/>
        <v>16996.488426140248</v>
      </c>
      <c r="AA58" s="17">
        <f t="shared" si="17"/>
        <v>17566.488426140248</v>
      </c>
      <c r="AB58" s="17">
        <f t="shared" si="17"/>
        <v>18136.488426140248</v>
      </c>
      <c r="AC58" s="17">
        <f t="shared" si="17"/>
        <v>18706.488426140248</v>
      </c>
      <c r="AD58" s="17">
        <f t="shared" si="17"/>
        <v>19276.488426140248</v>
      </c>
      <c r="AE58" s="17">
        <f t="shared" si="17"/>
        <v>19846.488426140248</v>
      </c>
      <c r="AF58" s="17">
        <f t="shared" si="17"/>
        <v>-17137.000491299812</v>
      </c>
    </row>
    <row r="59" spans="1:32" s="18" customFormat="1" ht="15" thickBot="1">
      <c r="A59" s="25" t="s">
        <v>56</v>
      </c>
      <c r="B59" s="26">
        <f>B58</f>
        <v>0</v>
      </c>
      <c r="C59" s="26">
        <f t="shared" ref="C59:AF59" si="18">B59+C58</f>
        <v>-374</v>
      </c>
      <c r="D59" s="26">
        <f t="shared" si="18"/>
        <v>1343.0399999999991</v>
      </c>
      <c r="E59" s="26">
        <f t="shared" si="18"/>
        <v>710.76159999999982</v>
      </c>
      <c r="F59" s="26">
        <f t="shared" si="18"/>
        <v>667.19206399999712</v>
      </c>
      <c r="G59" s="26">
        <f t="shared" si="18"/>
        <v>1873.004746559991</v>
      </c>
      <c r="H59" s="27">
        <f t="shared" si="18"/>
        <v>10014.490189862388</v>
      </c>
      <c r="I59" s="27">
        <f t="shared" si="18"/>
        <v>-5527.1694776608074</v>
      </c>
      <c r="J59" s="27">
        <f t="shared" si="18"/>
        <v>-19124.656345184005</v>
      </c>
      <c r="K59" s="27">
        <f t="shared" si="18"/>
        <v>-30723.003500707197</v>
      </c>
      <c r="L59" s="27">
        <f t="shared" si="18"/>
        <v>-40265.045355750386</v>
      </c>
      <c r="M59" s="27">
        <f t="shared" si="18"/>
        <v>-47691.329698294372</v>
      </c>
      <c r="N59" s="27">
        <f t="shared" si="18"/>
        <v>-52940.026227839197</v>
      </c>
      <c r="O59" s="27">
        <f t="shared" si="18"/>
        <v>-55946.831431864877</v>
      </c>
      <c r="P59" s="27">
        <f t="shared" si="18"/>
        <v>-56644.869657350646</v>
      </c>
      <c r="Q59" s="27">
        <f t="shared" si="18"/>
        <v>-54964.590225154927</v>
      </c>
      <c r="R59" s="27">
        <f t="shared" si="18"/>
        <v>-50833.660428970456</v>
      </c>
      <c r="S59" s="27">
        <f t="shared" si="18"/>
        <v>-44176.854254237667</v>
      </c>
      <c r="T59" s="27">
        <f t="shared" si="18"/>
        <v>-34915.936645814625</v>
      </c>
      <c r="U59" s="27">
        <f t="shared" si="18"/>
        <v>-22969.543146353742</v>
      </c>
      <c r="V59" s="27">
        <f t="shared" si="18"/>
        <v>-77003.054720213491</v>
      </c>
      <c r="W59" s="27">
        <f t="shared" si="18"/>
        <v>-82341.566294073244</v>
      </c>
      <c r="X59" s="27">
        <f t="shared" si="18"/>
        <v>-66485.077867932996</v>
      </c>
      <c r="Y59" s="27">
        <f t="shared" si="18"/>
        <v>-50058.589441792748</v>
      </c>
      <c r="Z59" s="27">
        <f t="shared" si="18"/>
        <v>-33062.101015652501</v>
      </c>
      <c r="AA59" s="27">
        <f t="shared" si="18"/>
        <v>-15495.612589512253</v>
      </c>
      <c r="AB59" s="27">
        <f t="shared" si="18"/>
        <v>2640.8758366279944</v>
      </c>
      <c r="AC59" s="27">
        <f t="shared" si="18"/>
        <v>21347.364262768242</v>
      </c>
      <c r="AD59" s="27">
        <f t="shared" si="18"/>
        <v>40623.85268890849</v>
      </c>
      <c r="AE59" s="27">
        <f t="shared" si="18"/>
        <v>60470.341115048737</v>
      </c>
      <c r="AF59" s="27">
        <f t="shared" si="18"/>
        <v>43333.340623748925</v>
      </c>
    </row>
    <row r="60" spans="1:3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2:3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2:3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2:3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2:3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2:3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2:3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2:3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2:3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2:3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2:3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2:3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2:3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2:3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</sheetData>
  <mergeCells count="1">
    <mergeCell ref="C14:D14"/>
  </mergeCells>
  <conditionalFormatting sqref="B59:AF5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SoftLoan</vt:lpstr>
      <vt:lpstr>CommercialLoan</vt:lpstr>
    </vt:vector>
  </TitlesOfParts>
  <Company>EUR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Tao Yue</cp:lastModifiedBy>
  <dcterms:created xsi:type="dcterms:W3CDTF">2019-07-23T15:46:10Z</dcterms:created>
  <dcterms:modified xsi:type="dcterms:W3CDTF">2019-09-25T16:01:50Z</dcterms:modified>
</cp:coreProperties>
</file>