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Ex1.xml" ContentType="application/vnd.ms-office.chartex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4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Ex2.xml" ContentType="application/vnd.ms-office.chartex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choenmaker/Documents/Book Corporate Finance/Website/"/>
    </mc:Choice>
  </mc:AlternateContent>
  <xr:revisionPtr revIDLastSave="0" documentId="13_ncr:1_{1E23CB71-A352-104B-873D-E468F2FC4FF5}" xr6:coauthVersionLast="47" xr6:coauthVersionMax="47" xr10:uidLastSave="{00000000-0000-0000-0000-000000000000}"/>
  <bookViews>
    <workbookView xWindow="5300" yWindow="560" windowWidth="39500" windowHeight="15840" activeTab="2" xr2:uid="{B37AC068-5AEF-46C7-BAF0-F80AAE4FDEEC}"/>
  </bookViews>
  <sheets>
    <sheet name="Table 18.7 ST value" sheetId="5" r:id="rId1"/>
    <sheet name="Table 18.8+12 compare ST LT" sheetId="1" r:id="rId2"/>
    <sheet name="Table 18.10 S + 18.11 E" sheetId="4" r:id="rId3"/>
    <sheet name="Table 18.6 IV change" sheetId="3" r:id="rId4"/>
  </sheets>
  <externalReferences>
    <externalReference r:id="rId5"/>
    <externalReference r:id="rId6"/>
    <externalReference r:id="rId7"/>
  </externalReferences>
  <definedNames>
    <definedName name="_xlchart.v1.0" hidden="1">'Table 18.8+12 compare ST LT'!$A$46:$A$48</definedName>
    <definedName name="_xlchart.v1.1" hidden="1">'Table 18.8+12 compare ST LT'!$A$49</definedName>
    <definedName name="_xlchart.v1.2" hidden="1">'Table 18.8+12 compare ST LT'!$B$46:$B$48</definedName>
    <definedName name="_xlchart.v1.3" hidden="1">'Table 18.6 IV change'!$B$26:$B$28</definedName>
    <definedName name="_xlchart.v1.4" hidden="1">'Table 18.6 IV change'!$C$26:$C$28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2" i="4" l="1"/>
  <c r="N2" i="4" s="1"/>
  <c r="O2" i="4" s="1"/>
  <c r="P2" i="4" s="1"/>
  <c r="Q2" i="4" s="1"/>
  <c r="R2" i="4" s="1"/>
  <c r="S2" i="4" s="1"/>
  <c r="T2" i="4" s="1"/>
  <c r="U2" i="4" s="1"/>
  <c r="V2" i="4" s="1"/>
  <c r="W2" i="4" s="1"/>
  <c r="X2" i="4" s="1"/>
  <c r="Y2" i="4" s="1"/>
  <c r="Z2" i="4" s="1"/>
  <c r="F7" i="4" l="1"/>
  <c r="F9" i="4" s="1"/>
  <c r="L3" i="4" s="1"/>
  <c r="M3" i="4" l="1"/>
  <c r="L6" i="4"/>
  <c r="C9" i="4"/>
  <c r="L11" i="4" s="1"/>
  <c r="L15" i="4" l="1"/>
  <c r="M11" i="4"/>
  <c r="N3" i="4"/>
  <c r="M6" i="4"/>
  <c r="B43" i="1"/>
  <c r="C43" i="1" s="1"/>
  <c r="B42" i="1"/>
  <c r="C42" i="1" s="1"/>
  <c r="D42" i="1" s="1"/>
  <c r="D43" i="1" l="1"/>
  <c r="D46" i="1" s="1"/>
  <c r="M15" i="4"/>
  <c r="N11" i="4"/>
  <c r="O3" i="4"/>
  <c r="N6" i="4"/>
  <c r="N15" i="4" l="1"/>
  <c r="O11" i="4"/>
  <c r="P3" i="4"/>
  <c r="O6" i="4"/>
  <c r="I10" i="1"/>
  <c r="I11" i="1" s="1"/>
  <c r="J4" i="1" s="1"/>
  <c r="J6" i="1" s="1"/>
  <c r="B37" i="1"/>
  <c r="B15" i="1"/>
  <c r="C15" i="1" s="1"/>
  <c r="P11" i="4" l="1"/>
  <c r="O15" i="4"/>
  <c r="Q3" i="4"/>
  <c r="P6" i="4"/>
  <c r="C7" i="5"/>
  <c r="C8" i="5" s="1"/>
  <c r="C11" i="5"/>
  <c r="Q11" i="4" l="1"/>
  <c r="P15" i="4"/>
  <c r="R3" i="4"/>
  <c r="Q6" i="4"/>
  <c r="C14" i="5"/>
  <c r="C16" i="5" s="1"/>
  <c r="B8" i="1" s="1"/>
  <c r="C13" i="5"/>
  <c r="B9" i="4"/>
  <c r="L10" i="4" s="1"/>
  <c r="C10" i="4"/>
  <c r="Q15" i="4" l="1"/>
  <c r="R11" i="4"/>
  <c r="L14" i="4"/>
  <c r="M10" i="4"/>
  <c r="S3" i="4"/>
  <c r="R6" i="4"/>
  <c r="B16" i="1"/>
  <c r="C16" i="1" s="1"/>
  <c r="R15" i="4" l="1"/>
  <c r="S11" i="4"/>
  <c r="M14" i="4"/>
  <c r="N10" i="4"/>
  <c r="T3" i="4"/>
  <c r="S6" i="4"/>
  <c r="B13" i="3"/>
  <c r="B14" i="3"/>
  <c r="B9" i="3"/>
  <c r="T11" i="4" l="1"/>
  <c r="S15" i="4"/>
  <c r="O10" i="4"/>
  <c r="N14" i="4"/>
  <c r="U3" i="4"/>
  <c r="T6" i="4"/>
  <c r="B15" i="3"/>
  <c r="G5" i="3"/>
  <c r="D16" i="1"/>
  <c r="B7" i="1"/>
  <c r="C6" i="1"/>
  <c r="D6" i="1" s="1"/>
  <c r="C5" i="1"/>
  <c r="D5" i="1" s="1"/>
  <c r="U11" i="4" l="1"/>
  <c r="T15" i="4"/>
  <c r="P10" i="4"/>
  <c r="O14" i="4"/>
  <c r="V3" i="4"/>
  <c r="U6" i="4"/>
  <c r="C7" i="1"/>
  <c r="D7" i="1" s="1"/>
  <c r="B38" i="1"/>
  <c r="K4" i="1"/>
  <c r="K6" i="1" s="1"/>
  <c r="B12" i="1"/>
  <c r="U15" i="4" l="1"/>
  <c r="V11" i="4"/>
  <c r="P14" i="4"/>
  <c r="Q10" i="4"/>
  <c r="W3" i="4"/>
  <c r="V6" i="4"/>
  <c r="C12" i="1"/>
  <c r="B39" i="1"/>
  <c r="B10" i="3"/>
  <c r="B11" i="3" s="1"/>
  <c r="B10" i="1"/>
  <c r="C10" i="1" s="1"/>
  <c r="C3" i="3" s="1"/>
  <c r="B11" i="1"/>
  <c r="C11" i="1" s="1"/>
  <c r="C8" i="1"/>
  <c r="D8" i="1" s="1"/>
  <c r="W11" i="4" l="1"/>
  <c r="V15" i="4"/>
  <c r="Q14" i="4"/>
  <c r="R10" i="4"/>
  <c r="X3" i="4"/>
  <c r="W6" i="4"/>
  <c r="B3" i="3"/>
  <c r="F11" i="1"/>
  <c r="D15" i="1"/>
  <c r="B17" i="1"/>
  <c r="B46" i="1" s="1"/>
  <c r="C46" i="1" s="1"/>
  <c r="X11" i="4" l="1"/>
  <c r="W15" i="4"/>
  <c r="S10" i="4"/>
  <c r="R14" i="4"/>
  <c r="Y3" i="4"/>
  <c r="X6" i="4"/>
  <c r="C17" i="1"/>
  <c r="B4" i="3"/>
  <c r="C26" i="3" s="1"/>
  <c r="Y11" i="4" l="1"/>
  <c r="X15" i="4"/>
  <c r="S14" i="4"/>
  <c r="T10" i="4"/>
  <c r="Z3" i="4"/>
  <c r="Z6" i="4" s="1"/>
  <c r="Y6" i="4"/>
  <c r="B19" i="3"/>
  <c r="D17" i="1"/>
  <c r="C4" i="3"/>
  <c r="Z11" i="4" l="1"/>
  <c r="Z15" i="4" s="1"/>
  <c r="Y15" i="4"/>
  <c r="T14" i="4"/>
  <c r="U10" i="4"/>
  <c r="L7" i="4"/>
  <c r="D26" i="3"/>
  <c r="L17" i="4" l="1"/>
  <c r="C11" i="4" s="1"/>
  <c r="C12" i="4" s="1"/>
  <c r="V10" i="4"/>
  <c r="U14" i="4"/>
  <c r="F11" i="4"/>
  <c r="L8" i="4"/>
  <c r="F12" i="4" s="1"/>
  <c r="C19" i="3"/>
  <c r="W10" i="4" l="1"/>
  <c r="V14" i="4"/>
  <c r="C27" i="3"/>
  <c r="B48" i="1"/>
  <c r="C48" i="1" s="1"/>
  <c r="D48" i="1" s="1"/>
  <c r="D27" i="3"/>
  <c r="W14" i="4" l="1"/>
  <c r="X10" i="4"/>
  <c r="C20" i="3"/>
  <c r="B20" i="3"/>
  <c r="X14" i="4" l="1"/>
  <c r="Y10" i="4"/>
  <c r="Y14" i="4" l="1"/>
  <c r="Z10" i="4"/>
  <c r="Z14" i="4" s="1"/>
  <c r="L16" i="4" s="1"/>
  <c r="B11" i="4" s="1"/>
  <c r="D28" i="3" l="1"/>
  <c r="B12" i="4"/>
  <c r="H11" i="4"/>
  <c r="C5" i="3" s="1"/>
  <c r="C6" i="3" s="1"/>
  <c r="B47" i="1" l="1"/>
  <c r="C28" i="3"/>
  <c r="H12" i="4"/>
  <c r="B5" i="3" s="1"/>
  <c r="B6" i="3" s="1"/>
  <c r="C21" i="3"/>
  <c r="D29" i="3"/>
  <c r="C22" i="3" s="1"/>
  <c r="B49" i="1" l="1"/>
  <c r="C49" i="1" s="1"/>
  <c r="D49" i="1" s="1"/>
  <c r="C47" i="1"/>
  <c r="D47" i="1" s="1"/>
  <c r="B21" i="3"/>
  <c r="C29" i="3"/>
  <c r="B22" i="3" s="1"/>
</calcChain>
</file>

<file path=xl/sharedStrings.xml><?xml version="1.0" encoding="utf-8"?>
<sst xmlns="http://schemas.openxmlformats.org/spreadsheetml/2006/main" count="195" uniqueCount="136">
  <si>
    <t>Short term shareholder value</t>
  </si>
  <si>
    <t>Long term shareholder value</t>
  </si>
  <si>
    <t>Employees</t>
  </si>
  <si>
    <t>People</t>
  </si>
  <si>
    <t>Number (thousands)</t>
  </si>
  <si>
    <t>Stakeholders</t>
  </si>
  <si>
    <t>These numbers are wrong, but they do indicate an order of magnitude</t>
  </si>
  <si>
    <t>Kraft Heinz does not even report scope 1 and 2 emissions</t>
  </si>
  <si>
    <t>Hidden liabilities at Kraft!!! Probably bankrupt on an integrated basis!</t>
  </si>
  <si>
    <t>Market cap, billions</t>
  </si>
  <si>
    <t>Enterprise value, billions</t>
  </si>
  <si>
    <t>17 feb 2017: 1 euro = 1.0641 USD on average</t>
  </si>
  <si>
    <t>Kraft-Heinz bid price - USD</t>
  </si>
  <si>
    <t>#shares</t>
  </si>
  <si>
    <t>net debt</t>
  </si>
  <si>
    <t>Unilever 2016</t>
  </si>
  <si>
    <t>Unilever after KHC measures</t>
  </si>
  <si>
    <t>EPS, GAAP</t>
  </si>
  <si>
    <t>EPS adj</t>
  </si>
  <si>
    <t>Unilever margins</t>
  </si>
  <si>
    <t>KHC margins</t>
  </si>
  <si>
    <t>Improvement to be made</t>
  </si>
  <si>
    <t>Price at 'right' PE multiple</t>
  </si>
  <si>
    <t>% obtained by KHC</t>
  </si>
  <si>
    <t>(1) Stock price - right before the bid</t>
  </si>
  <si>
    <t>(2) Stock price - right after the bid</t>
  </si>
  <si>
    <t>(3) Kraft-Heinz bid price - in Euro</t>
  </si>
  <si>
    <t>(4) Likely value to Kraft Heinz</t>
  </si>
  <si>
    <t>(5) Perceived value creation by KHC: (4)-(1)</t>
  </si>
  <si>
    <t>(6) of which obtained by KHC: (4)-(3)</t>
  </si>
  <si>
    <t>(7) of which obtained by selling shareholders: (3)-(1)</t>
  </si>
  <si>
    <t>(8) DCF value Unilever standalone</t>
  </si>
  <si>
    <t>(9) DCF value Unilever in KHC</t>
  </si>
  <si>
    <t>(10) Value creation by KHC: (9)-(8)</t>
  </si>
  <si>
    <t>Equity value per share</t>
  </si>
  <si>
    <t>(4) Integrated value creation (2)+(3)</t>
  </si>
  <si>
    <t>Pasted</t>
  </si>
  <si>
    <t>Pre-bid share price</t>
  </si>
  <si>
    <t>ST value goal</t>
  </si>
  <si>
    <t>DCF value KHC bid</t>
  </si>
  <si>
    <t>DCF value Unilever standalone</t>
  </si>
  <si>
    <t>ST value creation</t>
  </si>
  <si>
    <t>LT value creation</t>
  </si>
  <si>
    <t>€ per share</t>
  </si>
  <si>
    <t>Total value, € billions</t>
  </si>
  <si>
    <t>or:</t>
  </si>
  <si>
    <t>(1) Short-term shareholder value creation</t>
  </si>
  <si>
    <t>(2) Long-term shareholder value creation</t>
  </si>
  <si>
    <t>E</t>
  </si>
  <si>
    <t>S</t>
  </si>
  <si>
    <t>(1) F: Long-term shareholder value creation</t>
  </si>
  <si>
    <t>(4) Integrated value creation (1)+(2)+(3)</t>
  </si>
  <si>
    <t>does not include higher quality of products</t>
  </si>
  <si>
    <t>1.5mn farmers in their supply chain alone</t>
  </si>
  <si>
    <t xml:space="preserve">2018: Our total GHG footprint is around 61 million tonnes CO2e. </t>
  </si>
  <si>
    <t>Change in working conditions &amp; salaries</t>
  </si>
  <si>
    <t>Crude assumptions</t>
  </si>
  <si>
    <t>CO2 equivalent</t>
  </si>
  <si>
    <t>Change in GHG emissions. Unilever's 2018 CO2 equivalent footprint was 61 million tonnes.</t>
  </si>
  <si>
    <t>does not include biodiversity etc.</t>
  </si>
  <si>
    <r>
      <t xml:space="preserve">PV of value creation, </t>
    </r>
    <r>
      <rPr>
        <b/>
        <sz val="10"/>
        <color theme="1"/>
        <rFont val="Calibri"/>
        <family val="2"/>
      </rPr>
      <t>€ per share</t>
    </r>
  </si>
  <si>
    <r>
      <t xml:space="preserve">PV of value creation, </t>
    </r>
    <r>
      <rPr>
        <sz val="10"/>
        <color theme="1"/>
        <rFont val="Calibri"/>
        <family val="2"/>
      </rPr>
      <t xml:space="preserve">€ </t>
    </r>
    <r>
      <rPr>
        <sz val="10"/>
        <color theme="1"/>
        <rFont val="Calibri"/>
        <family val="2"/>
        <scheme val="minor"/>
      </rPr>
      <t>billions</t>
    </r>
  </si>
  <si>
    <t>Change in 1) social programs on sanitation, women empowerment, etc. 2) working conditions &amp; salaries at suppliers</t>
  </si>
  <si>
    <t>Volume unit</t>
  </si>
  <si>
    <t>Annual value creation, € billions</t>
  </si>
  <si>
    <t>Value per unit per year (in €)</t>
  </si>
  <si>
    <t>Nature of the value creation / destruction</t>
  </si>
  <si>
    <t xml:space="preserve">(2) E: change in Natural capital </t>
  </si>
  <si>
    <t>(3) S: change in social and human capital</t>
  </si>
  <si>
    <t>F</t>
  </si>
  <si>
    <t>IV</t>
  </si>
  <si>
    <t>(3) Stakeholder (excl investors) value creation</t>
  </si>
  <si>
    <t>PE multiple</t>
  </si>
  <si>
    <t>% of the margin gap to be closed (3)</t>
  </si>
  <si>
    <t>Value</t>
  </si>
  <si>
    <t>Item</t>
  </si>
  <si>
    <t>Unilever 2016 EPS GAAP (6)</t>
  </si>
  <si>
    <t>Source</t>
  </si>
  <si>
    <t>Financial statements</t>
  </si>
  <si>
    <t>assumption</t>
  </si>
  <si>
    <t>result of the above</t>
  </si>
  <si>
    <t>Analyst reports</t>
  </si>
  <si>
    <t>Bloomberg</t>
  </si>
  <si>
    <t>Unilever 2017 expected EPS (7)</t>
  </si>
  <si>
    <t>Unilever stock price before the bid (8)</t>
  </si>
  <si>
    <t>2017 Trading PE (9)=(8)/(7)</t>
  </si>
  <si>
    <t>Unilever EPS potential after KHC measures (10)=(7)* [1+(5)]</t>
  </si>
  <si>
    <t>New 'right' PE multiple to trade on (11)</t>
  </si>
  <si>
    <t>Price at 'right' PE multiple (12)=(10)*(11)</t>
  </si>
  <si>
    <t>Kraft-Heinz' bid price</t>
  </si>
  <si>
    <t>Estimated value to Kraft Heinz</t>
  </si>
  <si>
    <t>Unilever stock price - right before the bid</t>
  </si>
  <si>
    <t>Unilever 2016 EBIT margins (1)</t>
  </si>
  <si>
    <t>KHC EBIT margin target for 2017 (2)</t>
  </si>
  <si>
    <t>realization</t>
  </si>
  <si>
    <t>new Unilever margins</t>
  </si>
  <si>
    <t>assuming margin expansion translated linearly into EPS expansion and 2017E being same margin on higher sales</t>
  </si>
  <si>
    <t>66.3</t>
  </si>
  <si>
    <t>39.5</t>
  </si>
  <si>
    <t>20.8</t>
  </si>
  <si>
    <t>3.01</t>
  </si>
  <si>
    <t>1.81</t>
  </si>
  <si>
    <t>1.90</t>
  </si>
  <si>
    <t>Social value creation</t>
  </si>
  <si>
    <t>Total value creation per share</t>
  </si>
  <si>
    <t>New Unilever margin under KHC management (4)=[((2)-(1))*3+(1)]</t>
  </si>
  <si>
    <t>Improvement to be made (5)=(4)/(1)-1</t>
  </si>
  <si>
    <t>People in the supply chain</t>
  </si>
  <si>
    <t>Stakeholder</t>
  </si>
  <si>
    <t>Annual value</t>
  </si>
  <si>
    <t>Growth rate</t>
  </si>
  <si>
    <t>Discount rate</t>
  </si>
  <si>
    <t>PV per year</t>
  </si>
  <si>
    <t>PV in billions</t>
  </si>
  <si>
    <t>PV per share</t>
  </si>
  <si>
    <t>Social discount rate of 2.2%, with shadow carbon price growing at 3.5% per year</t>
  </si>
  <si>
    <t>Social discount rate of 2.2%, with growth at 2% per year</t>
  </si>
  <si>
    <r>
      <t xml:space="preserve">3 million people in and near the Unilever supply chain to suffer a loss in value of </t>
    </r>
    <r>
      <rPr>
        <sz val="10"/>
        <color theme="1"/>
        <rFont val="Calibri"/>
        <family val="2"/>
      </rPr>
      <t>€150</t>
    </r>
    <r>
      <rPr>
        <sz val="10"/>
        <color theme="1"/>
        <rFont val="Calibri"/>
        <family val="2"/>
        <scheme val="minor"/>
      </rPr>
      <t>0 per person per year for next 15 years; attribution factor of 0.5</t>
    </r>
  </si>
  <si>
    <t>Annual value employees</t>
  </si>
  <si>
    <t>Annual value supply chain</t>
  </si>
  <si>
    <t>PV employees in billions</t>
  </si>
  <si>
    <t>PV supply chain in billions</t>
  </si>
  <si>
    <t>PV employees per year</t>
  </si>
  <si>
    <t>PV supply chain per year</t>
  </si>
  <si>
    <r>
      <t xml:space="preserve">In the absence of reduction targets at Kraft Heinz, future emissions for the next 15 years are estimated to be 10% higher at </t>
    </r>
    <r>
      <rPr>
        <sz val="10"/>
        <color theme="1"/>
        <rFont val="Calibri"/>
        <family val="2"/>
      </rPr>
      <t>€137 carbon price.</t>
    </r>
  </si>
  <si>
    <t>Current and future generations</t>
  </si>
  <si>
    <r>
      <t xml:space="preserve">Deterioration in working conditions &amp; pay equivalent to a loss of </t>
    </r>
    <r>
      <rPr>
        <sz val="10"/>
        <color theme="1"/>
        <rFont val="Calibri"/>
        <family val="2"/>
      </rPr>
      <t>€2,250 per employee</t>
    </r>
    <r>
      <rPr>
        <sz val="10"/>
        <color theme="1"/>
        <rFont val="Calibri"/>
        <family val="2"/>
        <scheme val="minor"/>
      </rPr>
      <t xml:space="preserve"> per year for next 15 years</t>
    </r>
  </si>
  <si>
    <t>LT shareholder value creation</t>
  </si>
  <si>
    <t>Environmental value creation</t>
  </si>
  <si>
    <t>DCF value Unilever in Kraft Heinz</t>
  </si>
  <si>
    <t>Synergies, billions</t>
  </si>
  <si>
    <t>3 million in supply chain = 1.5 million farmers + families + programs etc</t>
  </si>
  <si>
    <t>Total</t>
  </si>
  <si>
    <t>Table 18.7</t>
  </si>
  <si>
    <t>Table 18.12</t>
  </si>
  <si>
    <t xml:space="preserve">Table 18.8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</si>
</sst>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0.0"/>
    <numFmt numFmtId="165" formatCode="[$$-409]#,##0.0"/>
    <numFmt numFmtId="166" formatCode="&quot;€&quot;\ #,##0"/>
    <numFmt numFmtId="167" formatCode="0.0%"/>
    <numFmt numFmtId="168" formatCode="_(* #,##0_);_(* \(#,##0\);_(* &quot;-&quot;??_);_(@_)"/>
    <numFmt numFmtId="169" formatCode="&quot;€&quot;\ #,##0.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sz val="11"/>
      <name val="Calibri"/>
      <family val="2"/>
      <scheme val="minor"/>
    </font>
    <font>
      <sz val="18"/>
      <color theme="1"/>
      <name val="Calibri"/>
      <family val="2"/>
      <scheme val="minor"/>
    </font>
    <font>
      <sz val="40"/>
      <color theme="1"/>
      <name val="Calibri"/>
      <family val="2"/>
      <scheme val="minor"/>
    </font>
    <font>
      <sz val="40"/>
      <color theme="1"/>
      <name val="Calibri (Hoofdtekst)"/>
    </font>
    <font>
      <b/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2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</cellStyleXfs>
  <cellXfs count="101">
    <xf numFmtId="0" fontId="0" fillId="0" borderId="0" xfId="0"/>
    <xf numFmtId="0" fontId="2" fillId="2" borderId="1" xfId="0" applyFont="1" applyFill="1" applyBorder="1"/>
    <xf numFmtId="1" fontId="2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4" fillId="3" borderId="0" xfId="0" applyFont="1" applyFill="1"/>
    <xf numFmtId="0" fontId="4" fillId="3" borderId="0" xfId="0" applyFont="1" applyFill="1" applyAlignment="1">
      <alignment horizontal="center"/>
    </xf>
    <xf numFmtId="166" fontId="4" fillId="3" borderId="0" xfId="0" applyNumberFormat="1" applyFont="1" applyFill="1" applyAlignment="1">
      <alignment horizontal="center"/>
    </xf>
    <xf numFmtId="9" fontId="4" fillId="3" borderId="0" xfId="1" applyFont="1" applyFill="1" applyAlignment="1">
      <alignment horizontal="center"/>
    </xf>
    <xf numFmtId="0" fontId="3" fillId="3" borderId="0" xfId="0" applyFont="1" applyFill="1" applyAlignment="1">
      <alignment horizontal="center"/>
    </xf>
    <xf numFmtId="0" fontId="4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horizontal="center"/>
    </xf>
    <xf numFmtId="166" fontId="4" fillId="2" borderId="0" xfId="0" applyNumberFormat="1" applyFont="1" applyFill="1" applyAlignment="1">
      <alignment horizontal="center"/>
    </xf>
    <xf numFmtId="0" fontId="4" fillId="2" borderId="1" xfId="0" applyFont="1" applyFill="1" applyBorder="1"/>
    <xf numFmtId="0" fontId="0" fillId="4" borderId="0" xfId="0" applyFill="1"/>
    <xf numFmtId="2" fontId="0" fillId="4" borderId="0" xfId="0" applyNumberFormat="1" applyFill="1"/>
    <xf numFmtId="0" fontId="0" fillId="4" borderId="0" xfId="0" applyFill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horizontal="center" wrapText="1"/>
    </xf>
    <xf numFmtId="0" fontId="0" fillId="2" borderId="0" xfId="0" applyFill="1"/>
    <xf numFmtId="1" fontId="0" fillId="2" borderId="0" xfId="0" applyNumberFormat="1" applyFill="1" applyAlignment="1">
      <alignment horizontal="center"/>
    </xf>
    <xf numFmtId="1" fontId="0" fillId="4" borderId="0" xfId="0" applyNumberFormat="1" applyFill="1" applyAlignment="1">
      <alignment horizontal="center"/>
    </xf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4" fillId="2" borderId="2" xfId="0" applyFont="1" applyFill="1" applyBorder="1" applyAlignment="1">
      <alignment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vertical="center" wrapText="1"/>
    </xf>
    <xf numFmtId="1" fontId="4" fillId="2" borderId="2" xfId="0" applyNumberFormat="1" applyFont="1" applyFill="1" applyBorder="1" applyAlignment="1">
      <alignment horizontal="center" vertical="center" wrapText="1"/>
    </xf>
    <xf numFmtId="164" fontId="4" fillId="2" borderId="2" xfId="0" applyNumberFormat="1" applyFont="1" applyFill="1" applyBorder="1" applyAlignment="1">
      <alignment horizontal="center" vertical="center" wrapText="1"/>
    </xf>
    <xf numFmtId="167" fontId="4" fillId="2" borderId="2" xfId="1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vertical="center" wrapText="1"/>
    </xf>
    <xf numFmtId="1" fontId="3" fillId="2" borderId="3" xfId="0" applyNumberFormat="1" applyFont="1" applyFill="1" applyBorder="1" applyAlignment="1">
      <alignment horizontal="center" vertical="center" wrapText="1"/>
    </xf>
    <xf numFmtId="0" fontId="0" fillId="3" borderId="0" xfId="0" applyFill="1"/>
    <xf numFmtId="165" fontId="0" fillId="3" borderId="0" xfId="0" applyNumberFormat="1" applyFill="1" applyAlignment="1">
      <alignment horizontal="center"/>
    </xf>
    <xf numFmtId="0" fontId="0" fillId="3" borderId="0" xfId="0" applyFill="1" applyAlignment="1">
      <alignment horizontal="left"/>
    </xf>
    <xf numFmtId="1" fontId="0" fillId="3" borderId="0" xfId="0" applyNumberFormat="1" applyFill="1" applyAlignment="1">
      <alignment horizontal="center"/>
    </xf>
    <xf numFmtId="2" fontId="9" fillId="3" borderId="0" xfId="2" applyNumberFormat="1" applyFont="1" applyFill="1" applyAlignment="1">
      <alignment horizontal="center"/>
    </xf>
    <xf numFmtId="0" fontId="0" fillId="2" borderId="7" xfId="0" applyFill="1" applyBorder="1" applyAlignment="1">
      <alignment vertical="center" wrapText="1"/>
    </xf>
    <xf numFmtId="9" fontId="0" fillId="2" borderId="7" xfId="1" applyFont="1" applyFill="1" applyBorder="1" applyAlignment="1">
      <alignment horizontal="center" vertical="center" wrapText="1"/>
    </xf>
    <xf numFmtId="9" fontId="0" fillId="2" borderId="7" xfId="0" applyNumberFormat="1" applyFill="1" applyBorder="1" applyAlignment="1">
      <alignment horizontal="center" vertical="center" wrapText="1"/>
    </xf>
    <xf numFmtId="2" fontId="0" fillId="2" borderId="7" xfId="0" applyNumberFormat="1" applyFill="1" applyBorder="1" applyAlignment="1">
      <alignment horizontal="center" vertical="center" wrapText="1"/>
    </xf>
    <xf numFmtId="164" fontId="0" fillId="2" borderId="7" xfId="0" applyNumberFormat="1" applyFill="1" applyBorder="1" applyAlignment="1">
      <alignment horizontal="center" vertical="center" wrapText="1"/>
    </xf>
    <xf numFmtId="0" fontId="0" fillId="2" borderId="6" xfId="0" applyFill="1" applyBorder="1" applyAlignment="1">
      <alignment vertical="center" wrapText="1"/>
    </xf>
    <xf numFmtId="9" fontId="0" fillId="2" borderId="6" xfId="1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0" fillId="2" borderId="9" xfId="0" applyFill="1" applyBorder="1" applyAlignment="1">
      <alignment vertical="center" wrapText="1"/>
    </xf>
    <xf numFmtId="9" fontId="0" fillId="2" borderId="9" xfId="1" applyFont="1" applyFill="1" applyBorder="1" applyAlignment="1">
      <alignment horizontal="center" vertical="center" wrapText="1"/>
    </xf>
    <xf numFmtId="0" fontId="0" fillId="2" borderId="9" xfId="0" quotePrefix="1" applyFill="1" applyBorder="1" applyAlignment="1">
      <alignment vertical="center" wrapText="1"/>
    </xf>
    <xf numFmtId="0" fontId="0" fillId="2" borderId="9" xfId="0" applyFill="1" applyBorder="1" applyAlignment="1">
      <alignment horizontal="center" vertical="center" wrapText="1"/>
    </xf>
    <xf numFmtId="0" fontId="2" fillId="2" borderId="8" xfId="0" applyFont="1" applyFill="1" applyBorder="1" applyAlignment="1">
      <alignment vertical="center" wrapText="1"/>
    </xf>
    <xf numFmtId="9" fontId="2" fillId="2" borderId="8" xfId="1" applyFont="1" applyFill="1" applyBorder="1" applyAlignment="1">
      <alignment horizontal="center" vertical="center" wrapText="1"/>
    </xf>
    <xf numFmtId="0" fontId="2" fillId="2" borderId="10" xfId="0" quotePrefix="1" applyFont="1" applyFill="1" applyBorder="1" applyAlignment="1">
      <alignment vertical="center" wrapText="1"/>
    </xf>
    <xf numFmtId="164" fontId="2" fillId="2" borderId="10" xfId="0" applyNumberFormat="1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vertical="center" wrapText="1"/>
    </xf>
    <xf numFmtId="0" fontId="4" fillId="6" borderId="0" xfId="0" applyFont="1" applyFill="1"/>
    <xf numFmtId="2" fontId="4" fillId="6" borderId="0" xfId="0" applyNumberFormat="1" applyFont="1" applyFill="1"/>
    <xf numFmtId="0" fontId="4" fillId="6" borderId="0" xfId="0" quotePrefix="1" applyFont="1" applyFill="1"/>
    <xf numFmtId="164" fontId="4" fillId="6" borderId="0" xfId="0" applyNumberFormat="1" applyFont="1" applyFill="1"/>
    <xf numFmtId="9" fontId="4" fillId="6" borderId="0" xfId="1" applyFont="1" applyFill="1"/>
    <xf numFmtId="9" fontId="4" fillId="6" borderId="0" xfId="0" applyNumberFormat="1" applyFont="1" applyFill="1"/>
    <xf numFmtId="165" fontId="4" fillId="6" borderId="0" xfId="0" applyNumberFormat="1" applyFont="1" applyFill="1" applyAlignment="1">
      <alignment horizontal="center"/>
    </xf>
    <xf numFmtId="0" fontId="4" fillId="6" borderId="0" xfId="0" applyFont="1" applyFill="1" applyAlignment="1">
      <alignment horizontal="left"/>
    </xf>
    <xf numFmtId="1" fontId="4" fillId="6" borderId="0" xfId="0" applyNumberFormat="1" applyFont="1" applyFill="1" applyAlignment="1">
      <alignment horizontal="center"/>
    </xf>
    <xf numFmtId="2" fontId="6" fillId="6" borderId="0" xfId="2" applyNumberFormat="1" applyFont="1" applyFill="1" applyAlignment="1">
      <alignment horizontal="center"/>
    </xf>
    <xf numFmtId="0" fontId="2" fillId="2" borderId="11" xfId="0" applyFont="1" applyFill="1" applyBorder="1" applyAlignment="1">
      <alignment horizontal="left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0" fillId="2" borderId="13" xfId="0" applyFill="1" applyBorder="1" applyAlignment="1">
      <alignment vertical="center" wrapText="1"/>
    </xf>
    <xf numFmtId="9" fontId="0" fillId="2" borderId="14" xfId="1" applyFont="1" applyFill="1" applyBorder="1" applyAlignment="1">
      <alignment horizontal="center" vertical="center" wrapText="1"/>
    </xf>
    <xf numFmtId="0" fontId="0" fillId="2" borderId="15" xfId="0" applyFill="1" applyBorder="1" applyAlignment="1">
      <alignment vertical="center" wrapText="1"/>
    </xf>
    <xf numFmtId="9" fontId="0" fillId="2" borderId="16" xfId="1" applyFont="1" applyFill="1" applyBorder="1" applyAlignment="1">
      <alignment horizontal="center" vertical="center" wrapText="1"/>
    </xf>
    <xf numFmtId="0" fontId="0" fillId="2" borderId="17" xfId="0" applyFill="1" applyBorder="1" applyAlignment="1">
      <alignment vertical="center" wrapText="1"/>
    </xf>
    <xf numFmtId="9" fontId="0" fillId="2" borderId="18" xfId="1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vertical="center" wrapText="1"/>
    </xf>
    <xf numFmtId="9" fontId="2" fillId="2" borderId="20" xfId="1" applyFont="1" applyFill="1" applyBorder="1" applyAlignment="1">
      <alignment horizontal="center" vertical="center" wrapText="1"/>
    </xf>
    <xf numFmtId="9" fontId="0" fillId="2" borderId="16" xfId="0" applyNumberFormat="1" applyFill="1" applyBorder="1" applyAlignment="1">
      <alignment horizontal="center" vertical="center" wrapText="1"/>
    </xf>
    <xf numFmtId="2" fontId="0" fillId="2" borderId="16" xfId="0" applyNumberFormat="1" applyFill="1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 wrapText="1"/>
    </xf>
    <xf numFmtId="164" fontId="0" fillId="2" borderId="16" xfId="0" applyNumberFormat="1" applyFill="1" applyBorder="1" applyAlignment="1">
      <alignment horizontal="center" vertical="center" wrapText="1"/>
    </xf>
    <xf numFmtId="0" fontId="0" fillId="2" borderId="17" xfId="0" quotePrefix="1" applyFill="1" applyBorder="1" applyAlignment="1">
      <alignment vertical="center" wrapText="1"/>
    </xf>
    <xf numFmtId="0" fontId="2" fillId="2" borderId="11" xfId="0" quotePrefix="1" applyFont="1" applyFill="1" applyBorder="1" applyAlignment="1">
      <alignment vertical="center" wrapText="1"/>
    </xf>
    <xf numFmtId="164" fontId="2" fillId="2" borderId="12" xfId="0" applyNumberFormat="1" applyFont="1" applyFill="1" applyBorder="1" applyAlignment="1">
      <alignment horizontal="center" vertical="center" wrapText="1"/>
    </xf>
    <xf numFmtId="0" fontId="10" fillId="5" borderId="0" xfId="0" applyFont="1" applyFill="1"/>
    <xf numFmtId="0" fontId="3" fillId="2" borderId="2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vertical="center"/>
    </xf>
    <xf numFmtId="0" fontId="3" fillId="2" borderId="0" xfId="0" applyFont="1" applyFill="1" applyAlignment="1">
      <alignment vertical="center" wrapText="1"/>
    </xf>
    <xf numFmtId="1" fontId="3" fillId="2" borderId="0" xfId="0" applyNumberFormat="1" applyFont="1" applyFill="1" applyAlignment="1">
      <alignment horizontal="center" vertical="center" wrapText="1"/>
    </xf>
    <xf numFmtId="168" fontId="4" fillId="2" borderId="2" xfId="3" applyNumberFormat="1" applyFont="1" applyFill="1" applyBorder="1" applyAlignment="1">
      <alignment horizontal="center" vertical="center" wrapText="1"/>
    </xf>
    <xf numFmtId="2" fontId="4" fillId="2" borderId="0" xfId="0" applyNumberFormat="1" applyFont="1" applyFill="1" applyAlignment="1">
      <alignment horizontal="center" vertical="center"/>
    </xf>
    <xf numFmtId="164" fontId="4" fillId="2" borderId="0" xfId="0" applyNumberFormat="1" applyFont="1" applyFill="1" applyAlignment="1">
      <alignment vertical="center"/>
    </xf>
    <xf numFmtId="10" fontId="4" fillId="2" borderId="0" xfId="0" applyNumberFormat="1" applyFont="1" applyFill="1" applyAlignment="1">
      <alignment vertical="center"/>
    </xf>
    <xf numFmtId="9" fontId="4" fillId="2" borderId="0" xfId="0" applyNumberFormat="1" applyFont="1" applyFill="1" applyAlignment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169" fontId="4" fillId="2" borderId="0" xfId="0" applyNumberFormat="1" applyFont="1" applyFill="1" applyAlignment="1">
      <alignment horizontal="center"/>
    </xf>
    <xf numFmtId="0" fontId="4" fillId="2" borderId="0" xfId="0" quotePrefix="1" applyFont="1" applyFill="1" applyAlignment="1">
      <alignment horizontal="center" vertical="center" wrapText="1"/>
    </xf>
    <xf numFmtId="1" fontId="4" fillId="2" borderId="0" xfId="0" applyNumberFormat="1" applyFont="1" applyFill="1" applyAlignment="1">
      <alignment horizontal="center" vertical="center" wrapText="1"/>
    </xf>
    <xf numFmtId="0" fontId="12" fillId="2" borderId="0" xfId="0" applyFont="1" applyFill="1" applyAlignment="1">
      <alignment vertical="center"/>
    </xf>
    <xf numFmtId="0" fontId="13" fillId="2" borderId="0" xfId="0" applyFont="1" applyFill="1" applyAlignment="1">
      <alignment vertical="center"/>
    </xf>
    <xf numFmtId="0" fontId="3" fillId="3" borderId="0" xfId="0" applyFont="1" applyFill="1"/>
  </cellXfs>
  <cellStyles count="4">
    <cellStyle name="Komma" xfId="3" builtinId="3"/>
    <cellStyle name="Normal_Listed Airport Groups02052008" xfId="2" xr:uid="{A0AC764E-2A33-4DD4-9E85-2220FF7BD830}"/>
    <cellStyle name="Procent" xfId="1" builtinId="5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Ex2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NL" sz="2000"/>
              <a:t>Short term value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'Table 18.8+12 compare ST LT'!$A$37:$A$39</c:f>
              <c:strCache>
                <c:ptCount val="3"/>
                <c:pt idx="0">
                  <c:v>Unilever stock price - right before the bid</c:v>
                </c:pt>
                <c:pt idx="1">
                  <c:v>Kraft-Heinz' bid price</c:v>
                </c:pt>
                <c:pt idx="2">
                  <c:v>Estimated value to Kraft Heinz</c:v>
                </c:pt>
              </c:strCache>
            </c:strRef>
          </c:cat>
          <c:val>
            <c:numRef>
              <c:f>'Table 18.8+12 compare ST LT'!$B$37:$B$39</c:f>
              <c:numCache>
                <c:formatCode>"€"\ #,##0</c:formatCode>
                <c:ptCount val="3"/>
                <c:pt idx="0">
                  <c:v>39.5</c:v>
                </c:pt>
                <c:pt idx="1">
                  <c:v>46.988065031482002</c:v>
                </c:pt>
                <c:pt idx="2">
                  <c:v>66.303468000000009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EC-4854-91A9-05DDD43CC7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8"/>
        <c:overlap val="-25"/>
        <c:axId val="753888784"/>
        <c:axId val="753889104"/>
      </c:barChart>
      <c:catAx>
        <c:axId val="753888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nl-US"/>
          </a:p>
        </c:txPr>
        <c:crossAx val="753889104"/>
        <c:crosses val="autoZero"/>
        <c:auto val="1"/>
        <c:lblAlgn val="ctr"/>
        <c:lblOffset val="100"/>
        <c:noMultiLvlLbl val="0"/>
      </c:catAx>
      <c:valAx>
        <c:axId val="7538891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€&quot;\ #,##0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nl-US"/>
          </a:p>
        </c:txPr>
        <c:crossAx val="7538887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/>
      </a:pPr>
      <a:endParaRPr lang="nl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nl-NL"/>
              <a:t>Long term value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nl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'Table 18.8+12 compare ST LT'!$A$42:$A$43</c:f>
              <c:strCache>
                <c:ptCount val="2"/>
                <c:pt idx="0">
                  <c:v>DCF value Unilever standalone</c:v>
                </c:pt>
                <c:pt idx="1">
                  <c:v>DCF value Unilever in Kraft Heinz</c:v>
                </c:pt>
              </c:strCache>
            </c:strRef>
          </c:cat>
          <c:val>
            <c:numRef>
              <c:f>'Table 18.8+12 compare ST LT'!$B$42:$B$43</c:f>
              <c:numCache>
                <c:formatCode>"€"\ #,##0.0</c:formatCode>
                <c:ptCount val="2"/>
                <c:pt idx="0">
                  <c:v>64.717271509856872</c:v>
                </c:pt>
                <c:pt idx="1">
                  <c:v>58.248384671703413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80-4194-8095-DFF2114F20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8"/>
        <c:overlap val="-25"/>
        <c:axId val="753888784"/>
        <c:axId val="753889104"/>
      </c:barChart>
      <c:catAx>
        <c:axId val="753888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nl-US"/>
          </a:p>
        </c:txPr>
        <c:crossAx val="753889104"/>
        <c:crosses val="autoZero"/>
        <c:auto val="1"/>
        <c:lblAlgn val="ctr"/>
        <c:lblOffset val="100"/>
        <c:noMultiLvlLbl val="0"/>
      </c:catAx>
      <c:valAx>
        <c:axId val="753889104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€&quot;\ #,##0.0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nl-US"/>
          </a:p>
        </c:txPr>
        <c:crossAx val="7538887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>
          <a:solidFill>
            <a:schemeClr val="tx1"/>
          </a:solidFill>
        </a:defRPr>
      </a:pPr>
      <a:endParaRPr lang="nl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NL" sz="1800"/>
              <a:t>Short-term value creation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'Table 18.6 IV change'!$A$9:$A$10</c:f>
              <c:strCache>
                <c:ptCount val="2"/>
                <c:pt idx="0">
                  <c:v>Pre-bid share price</c:v>
                </c:pt>
                <c:pt idx="1">
                  <c:v>ST value goal</c:v>
                </c:pt>
              </c:strCache>
            </c:strRef>
          </c:cat>
          <c:val>
            <c:numRef>
              <c:f>'Table 18.6 IV change'!$B$9:$B$10</c:f>
              <c:numCache>
                <c:formatCode>0</c:formatCode>
                <c:ptCount val="2"/>
                <c:pt idx="0">
                  <c:v>39.5</c:v>
                </c:pt>
                <c:pt idx="1">
                  <c:v>66.303468000000009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07-4668-950A-AE38DECF599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47512672"/>
        <c:axId val="447511688"/>
      </c:barChart>
      <c:catAx>
        <c:axId val="4475126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US"/>
          </a:p>
        </c:txPr>
        <c:crossAx val="447511688"/>
        <c:crosses val="autoZero"/>
        <c:auto val="1"/>
        <c:lblAlgn val="ctr"/>
        <c:lblOffset val="100"/>
        <c:noMultiLvlLbl val="0"/>
      </c:catAx>
      <c:valAx>
        <c:axId val="447511688"/>
        <c:scaling>
          <c:orientation val="minMax"/>
          <c:min val="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US"/>
          </a:p>
        </c:txPr>
        <c:crossAx val="4475126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/>
      </a:pPr>
      <a:endParaRPr lang="nl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nl-NL" sz="1800"/>
              <a:t>Long-term value creation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nl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'Table 18.6 IV change'!$A$13:$A$14</c:f>
              <c:strCache>
                <c:ptCount val="2"/>
                <c:pt idx="0">
                  <c:v>DCF value Unilever standalone</c:v>
                </c:pt>
                <c:pt idx="1">
                  <c:v>DCF value KHC bid</c:v>
                </c:pt>
              </c:strCache>
            </c:strRef>
          </c:cat>
          <c:val>
            <c:numRef>
              <c:f>'Table 18.6 IV change'!$B$13:$B$14</c:f>
              <c:numCache>
                <c:formatCode>0</c:formatCode>
                <c:ptCount val="2"/>
                <c:pt idx="0">
                  <c:v>64.717271509856872</c:v>
                </c:pt>
                <c:pt idx="1">
                  <c:v>58.248384671703413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E2-4393-88A1-BAB11DB63F7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47512672"/>
        <c:axId val="447511688"/>
      </c:barChart>
      <c:catAx>
        <c:axId val="4475126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US"/>
          </a:p>
        </c:txPr>
        <c:crossAx val="447511688"/>
        <c:crosses val="autoZero"/>
        <c:auto val="1"/>
        <c:lblAlgn val="ctr"/>
        <c:lblOffset val="100"/>
        <c:noMultiLvlLbl val="0"/>
      </c:catAx>
      <c:valAx>
        <c:axId val="447511688"/>
        <c:scaling>
          <c:orientation val="minMax"/>
          <c:min val="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US"/>
          </a:p>
        </c:txPr>
        <c:crossAx val="4475126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/>
      </a:pPr>
      <a:endParaRPr lang="nl-US"/>
    </a:p>
  </c:txPr>
  <c:printSettings>
    <c:headerFooter/>
    <c:pageMargins b="0.75" l="0.7" r="0.7" t="0.75" header="0.3" footer="0.3"/>
    <c:pageSetup/>
  </c:printSettings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_xlchart.v1.0</cx:f>
      </cx:strDim>
      <cx:numDim type="val">
        <cx:f>_xlchart.v1.2</cx:f>
      </cx:numDim>
    </cx:data>
  </cx:chartData>
  <cx:chart>
    <cx:plotArea>
      <cx:plotAreaRegion>
        <cx:plotSurface>
          <cx:spPr>
            <a:noFill/>
          </cx:spPr>
        </cx:plotSurface>
        <cx:series layoutId="waterfall" uniqueId="{779C8078-3861-453C-A0C9-AF693B613469}">
          <cx:tx>
            <cx:txData>
              <cx:f>_xlchart.v1.1</cx:f>
              <cx:v>Total value creation per share</cx:v>
            </cx:txData>
          </cx:tx>
          <cx:spPr>
            <a:solidFill>
              <a:schemeClr val="accent1">
                <a:lumMod val="60000"/>
                <a:lumOff val="40000"/>
              </a:schemeClr>
            </a:solidFill>
            <a:ln w="6350">
              <a:solidFill>
                <a:schemeClr val="tx1"/>
              </a:solidFill>
            </a:ln>
          </cx:spPr>
          <cx:dataPt idx="0"/>
          <cx:dataLabels pos="inEnd">
            <cx:txPr>
              <a:bodyPr spcFirstLastPara="1" vertOverflow="ellipsis" horzOverflow="overflow" wrap="square" lIns="0" tIns="0" rIns="0" bIns="0" anchor="ctr" anchorCtr="1"/>
              <a:lstStyle/>
              <a:p>
                <a:pPr algn="ctr" rtl="0">
                  <a:defRPr sz="1400" b="1">
                    <a:solidFill>
                      <a:sysClr val="windowText" lastClr="000000"/>
                    </a:solidFill>
                    <a:latin typeface="+mn-lt"/>
                  </a:defRPr>
                </a:pPr>
                <a:endParaRPr lang="nl-NL" sz="1400" b="1" i="0" u="none" strike="noStrike" baseline="0">
                  <a:solidFill>
                    <a:sysClr val="windowText" lastClr="000000"/>
                  </a:solidFill>
                  <a:latin typeface="+mn-lt"/>
                </a:endParaRPr>
              </a:p>
            </cx:txPr>
            <cx:visibility seriesName="0" categoryName="0" value="1"/>
            <cx:separator>, </cx:separator>
          </cx:dataLabels>
          <cx:dataId val="0"/>
          <cx:layoutPr>
            <cx:subtotals/>
          </cx:layoutPr>
        </cx:series>
      </cx:plotAreaRegion>
      <cx:axis id="0">
        <cx:catScaling gapWidth="0.5"/>
        <cx:tickLabels/>
        <cx:numFmt formatCode="Standaard" sourceLinked="0"/>
        <cx:spPr>
          <a:ln>
            <a:solidFill>
              <a:schemeClr val="tx1"/>
            </a:solidFill>
          </a:ln>
        </cx:spPr>
        <cx:txPr>
          <a:bodyPr spcFirstLastPara="1" vertOverflow="ellipsis" horzOverflow="overflow" wrap="square" lIns="0" tIns="0" rIns="0" bIns="0" anchor="ctr" anchorCtr="1"/>
          <a:lstStyle/>
          <a:p>
            <a:pPr algn="ctr" rtl="0">
              <a:defRPr sz="1400" b="1">
                <a:solidFill>
                  <a:sysClr val="windowText" lastClr="000000"/>
                </a:solidFill>
                <a:latin typeface="+mn-lt"/>
              </a:defRPr>
            </a:pPr>
            <a:endParaRPr lang="nl-NL" sz="1400" b="1" i="0" u="none" strike="noStrike" baseline="0">
              <a:solidFill>
                <a:sysClr val="windowText" lastClr="000000"/>
              </a:solidFill>
              <a:latin typeface="+mn-lt"/>
            </a:endParaRPr>
          </a:p>
        </cx:txPr>
      </cx:axis>
      <cx:axis id="1">
        <cx:valScaling/>
        <cx:majorGridlines/>
        <cx:majorTickMarks type="out"/>
        <cx:tickLabels/>
        <cx:spPr>
          <a:ln>
            <a:solidFill>
              <a:schemeClr val="tx1"/>
            </a:solidFill>
          </a:ln>
        </cx:spPr>
        <cx:txPr>
          <a:bodyPr spcFirstLastPara="1" vertOverflow="ellipsis" horzOverflow="overflow" wrap="square" lIns="0" tIns="0" rIns="0" bIns="0" anchor="ctr" anchorCtr="1"/>
          <a:lstStyle/>
          <a:p>
            <a:pPr algn="ctr" rtl="0">
              <a:defRPr sz="1400">
                <a:solidFill>
                  <a:sysClr val="windowText" lastClr="000000"/>
                </a:solidFill>
                <a:latin typeface="+mn-lt"/>
              </a:defRPr>
            </a:pPr>
            <a:endParaRPr lang="nl-NL" sz="1400" b="0" i="0" u="none" strike="noStrike" baseline="0">
              <a:solidFill>
                <a:sysClr val="windowText" lastClr="000000"/>
              </a:solidFill>
              <a:latin typeface="+mn-lt"/>
            </a:endParaRPr>
          </a:p>
        </cx:txPr>
      </cx:axis>
    </cx:plotArea>
  </cx:chart>
  <cx:spPr>
    <a:ln w="12700">
      <a:solidFill>
        <a:schemeClr val="tx1"/>
      </a:solidFill>
    </a:ln>
  </cx:spPr>
</cx:chartSpace>
</file>

<file path=xl/charts/chartEx2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_xlchart.v1.3</cx:f>
      </cx:strDim>
      <cx:numDim type="val">
        <cx:f>_xlchart.v1.4</cx:f>
      </cx:numDim>
    </cx:data>
  </cx:chartData>
  <cx:chart>
    <cx:title pos="t" align="ctr" overlay="0">
      <cx:tx>
        <cx:txData>
          <cx:v>Long-term value creation per share</cx:v>
        </cx:txData>
      </cx:tx>
      <cx:txPr>
        <a:bodyPr rot="0" spcFirstLastPara="1" vertOverflow="ellipsis" vert="horz" wrap="square" lIns="38100" tIns="19050" rIns="38100" bIns="19050" anchor="ctr" anchorCtr="1" compatLnSpc="0"/>
        <a:lstStyle/>
        <a:p>
          <a:pPr algn="ctr" rtl="0">
            <a:defRPr sz="18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r>
            <a:rPr kumimoji="0" lang="nl-NL" sz="1800" b="0" i="0" u="none" strike="noStrike" kern="1200" cap="none" spc="0" normalizeH="0" baseline="0" noProof="0">
              <a:ln>
                <a:noFill/>
              </a:ln>
              <a:solidFill>
                <a:sysClr val="windowText" lastClr="000000">
                  <a:lumMod val="65000"/>
                  <a:lumOff val="35000"/>
                </a:sysClr>
              </a:solidFill>
              <a:effectLst/>
              <a:uLnTx/>
              <a:uFillTx/>
              <a:latin typeface="Calibri" panose="020F0502020204030204"/>
            </a:rPr>
            <a:t>Long-term value creation per share</a:t>
          </a:r>
        </a:p>
      </cx:txPr>
    </cx:title>
    <cx:plotArea>
      <cx:plotAreaRegion>
        <cx:series layoutId="waterfall" uniqueId="{0A1A58C1-5A46-4439-877B-E9DBAECBBC68}">
          <cx:dataLabels pos="outEnd">
            <cx:txPr>
              <a:bodyPr vertOverflow="overflow" horzOverflow="overflow" wrap="square" lIns="0" tIns="0" rIns="0" bIns="0"/>
              <a:lstStyle/>
              <a:p>
                <a:pPr algn="ctr" rtl="0">
                  <a:defRPr sz="1200" b="0">
                    <a:solidFill>
                      <a:srgbClr val="404040"/>
                    </a:solidFill>
                    <a:latin typeface="Calibri" panose="020F0502020204030204" pitchFamily="34" charset="0"/>
                    <a:ea typeface="Calibri" panose="020F0502020204030204" pitchFamily="34" charset="0"/>
                    <a:cs typeface="Calibri" panose="020F0502020204030204" pitchFamily="34" charset="0"/>
                  </a:defRPr>
                </a:pPr>
                <a:endParaRPr lang="nl-NL" sz="1200"/>
              </a:p>
            </cx:txPr>
            <cx:visibility seriesName="0" categoryName="0" value="1"/>
          </cx:dataLabels>
          <cx:dataId val="0"/>
          <cx:layoutPr>
            <cx:subtotals/>
          </cx:layoutPr>
        </cx:series>
      </cx:plotAreaRegion>
      <cx:axis id="0">
        <cx:catScaling gapWidth="0.769999981"/>
        <cx:tickLabels/>
        <cx:txPr>
          <a:bodyPr vertOverflow="overflow" horzOverflow="overflow" wrap="square" lIns="0" tIns="0" rIns="0" bIns="0"/>
          <a:lstStyle/>
          <a:p>
            <a:pPr algn="ctr" rtl="0">
              <a:defRPr sz="1600" b="1">
                <a:solidFill>
                  <a:srgbClr val="595959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 lang="nl-NL" sz="1600" b="1"/>
          </a:p>
        </cx:txPr>
      </cx:axis>
      <cx:axis id="1">
        <cx:valScaling/>
        <cx:majorGridlines/>
        <cx:tickLabels/>
        <cx:txPr>
          <a:bodyPr vertOverflow="overflow" horzOverflow="overflow" wrap="square" lIns="0" tIns="0" rIns="0" bIns="0"/>
          <a:lstStyle/>
          <a:p>
            <a:pPr algn="ctr" rtl="0">
              <a:defRPr sz="1200" b="0">
                <a:solidFill>
                  <a:srgbClr val="595959"/>
                </a:solidFill>
                <a:latin typeface="Calibri" panose="020F0502020204030204" pitchFamily="34" charset="0"/>
                <a:ea typeface="Calibri" panose="020F0502020204030204" pitchFamily="34" charset="0"/>
                <a:cs typeface="Calibri" panose="020F0502020204030204" pitchFamily="34" charset="0"/>
              </a:defRPr>
            </a:pPr>
            <a:endParaRPr lang="nl-NL" sz="1200"/>
          </a:p>
        </cx:txPr>
      </cx:axis>
    </cx:plotArea>
  </cx:chart>
</cx:chartSpace>
</file>

<file path=xl/charts/colors1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colors2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colors3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9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microsoft.com/office/2014/relationships/chartEx" Target="../charts/chartEx1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microsoft.com/office/2014/relationships/chartEx" Target="../charts/chartEx2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584200</xdr:colOff>
      <xdr:row>17</xdr:row>
      <xdr:rowOff>149225</xdr:rowOff>
    </xdr:from>
    <xdr:to>
      <xdr:col>16</xdr:col>
      <xdr:colOff>482600</xdr:colOff>
      <xdr:row>41</xdr:row>
      <xdr:rowOff>96837</xdr:rowOff>
    </xdr:to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70504710-E3F7-4FFC-AA50-87193615761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246063</xdr:colOff>
      <xdr:row>35</xdr:row>
      <xdr:rowOff>146050</xdr:rowOff>
    </xdr:from>
    <xdr:to>
      <xdr:col>8</xdr:col>
      <xdr:colOff>503237</xdr:colOff>
      <xdr:row>57</xdr:row>
      <xdr:rowOff>93662</xdr:rowOff>
    </xdr:to>
    <xdr:graphicFrame macro="">
      <xdr:nvGraphicFramePr>
        <xdr:cNvPr id="3" name="Grafiek 2">
          <a:extLst>
            <a:ext uri="{FF2B5EF4-FFF2-40B4-BE49-F238E27FC236}">
              <a16:creationId xmlns:a16="http://schemas.microsoft.com/office/drawing/2014/main" id="{41418960-E033-4B0B-96AD-CBDECD6AD1B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259552</xdr:colOff>
      <xdr:row>60</xdr:row>
      <xdr:rowOff>15876</xdr:rowOff>
    </xdr:from>
    <xdr:to>
      <xdr:col>4</xdr:col>
      <xdr:colOff>469900</xdr:colOff>
      <xdr:row>85</xdr:row>
      <xdr:rowOff>18256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5" name="Grafiek 4">
              <a:extLst>
                <a:ext uri="{FF2B5EF4-FFF2-40B4-BE49-F238E27FC236}">
                  <a16:creationId xmlns:a16="http://schemas.microsoft.com/office/drawing/2014/main" id="{AA47F061-39B3-4A1D-BCBA-632BCCBC9544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3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59552" y="10709276"/>
              <a:ext cx="7601748" cy="476488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nl-NL" sz="1100"/>
                <a:t>Deze grafiek is niet beschikbaar in uw versie van Excel.
Als u deze vorm bewerkt of deze werkmap opslaat in een andere bestandsindeling, wordt de grafiek onherstelbaar beschadigd.</a:t>
              </a:r>
            </a:p>
          </xdr:txBody>
        </xdr:sp>
      </mc:Fallback>
    </mc:AlternateContent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142875</xdr:colOff>
      <xdr:row>1</xdr:row>
      <xdr:rowOff>120650</xdr:rowOff>
    </xdr:from>
    <xdr:to>
      <xdr:col>11</xdr:col>
      <xdr:colOff>447675</xdr:colOff>
      <xdr:row>15</xdr:row>
      <xdr:rowOff>101600</xdr:rowOff>
    </xdr:to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D5DCDBC1-DBED-4B97-A1D9-C3236FCB897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24</xdr:row>
      <xdr:rowOff>0</xdr:rowOff>
    </xdr:from>
    <xdr:to>
      <xdr:col>11</xdr:col>
      <xdr:colOff>304800</xdr:colOff>
      <xdr:row>38</xdr:row>
      <xdr:rowOff>165100</xdr:rowOff>
    </xdr:to>
    <xdr:graphicFrame macro="">
      <xdr:nvGraphicFramePr>
        <xdr:cNvPr id="3" name="Grafiek 2">
          <a:extLst>
            <a:ext uri="{FF2B5EF4-FFF2-40B4-BE49-F238E27FC236}">
              <a16:creationId xmlns:a16="http://schemas.microsoft.com/office/drawing/2014/main" id="{216415E6-6B19-4F53-BA9F-21A18E1CC29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177800</xdr:colOff>
      <xdr:row>30</xdr:row>
      <xdr:rowOff>69850</xdr:rowOff>
    </xdr:from>
    <xdr:to>
      <xdr:col>2</xdr:col>
      <xdr:colOff>857250</xdr:colOff>
      <xdr:row>46</xdr:row>
      <xdr:rowOff>50800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4" name="Grafiek 3">
              <a:extLst>
                <a:ext uri="{FF2B5EF4-FFF2-40B4-BE49-F238E27FC236}">
                  <a16:creationId xmlns:a16="http://schemas.microsoft.com/office/drawing/2014/main" id="{AF011BCF-0910-432F-B039-CC3D1CA82DAE}"/>
                </a:ext>
              </a:extLst>
            </xdr:cNvPr>
            <xdr:cNvGraphicFramePr>
              <a:graphicFrameLocks/>
            </xdr:cNvGraphicFramePr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3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77800" y="6635750"/>
              <a:ext cx="4768850" cy="302895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nl-NL" sz="1100"/>
                <a:t>Deze grafiek is niet beschikbaar in uw versie van Excel.
Als u deze vorm bewerkt of deze werkmap opslaat in een andere bestandsindeling, wordt de grafiek onherstelbaar beschadigd.</a:t>
              </a:r>
            </a:p>
          </xdr:txBody>
        </xdr:sp>
      </mc:Fallback>
    </mc:AlternateContent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choenmaker/Documents/Book%20Corporate%20Finance/Chapters/Part%205%20-%20Ch15-19/Re__ch16/Unilever%20DCF%20per%202017%20for%20case%20longer%20forecas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8769ce5b2673993a/Documenten/W%20-%20Sustainable%20finance/__SF%20case%20studies%20to%20be%20made/5.%20Kraft%20Heinz%20vs%20Unilever/Unilever%20DCF%20per%202017%20for%20cas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8769ce5b2673993a/Documenten/W%20-%20Sustainable%20finance/__SF%20case%20studies%20to%20be%20made/5.%20Kraft%20Heinz%20vs%20Unilever/Unilever%20DCF%20per%202017%20for%20case%20longer%20forecas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CF standalone"/>
      <sheetName val="standalone pasted"/>
      <sheetName val="DCF standalone ex ESG"/>
      <sheetName val="VDA"/>
      <sheetName val="Market implied DCF standalone"/>
      <sheetName val="Value drivers"/>
      <sheetName val="DCF Unilever in KHC1"/>
      <sheetName val="DCF Unilever in KHC2"/>
    </sheetNames>
    <sheetDataSet>
      <sheetData sheetId="0">
        <row r="30">
          <cell r="F30">
            <v>64.717271509856872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CF standalone"/>
      <sheetName val="Value drivers"/>
      <sheetName val="DCF Unilever in KHC"/>
    </sheetNames>
    <sheetDataSet>
      <sheetData sheetId="0">
        <row r="26">
          <cell r="F26">
            <v>125851.09673686957</v>
          </cell>
        </row>
      </sheetData>
      <sheetData sheetId="1"/>
      <sheetData sheetId="2">
        <row r="26">
          <cell r="F26">
            <v>116530.74270266475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CF standalone"/>
      <sheetName val="Value drivers"/>
      <sheetName val="DCF Unilever in KHC"/>
    </sheetNames>
    <sheetDataSet>
      <sheetData sheetId="0" refreshError="1"/>
      <sheetData sheetId="1" refreshError="1"/>
      <sheetData sheetId="2" refreshError="1">
        <row r="28">
          <cell r="F28">
            <v>99880.136151340659</v>
          </cell>
        </row>
        <row r="30">
          <cell r="F30">
            <v>58.248384671703413</v>
          </cell>
        </row>
      </sheetData>
    </sheetDataSet>
  </externalBook>
</externalLink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690BBB-E0C5-4585-9C0B-67B772000526}">
  <dimension ref="A1:D40"/>
  <sheetViews>
    <sheetView workbookViewId="0">
      <selection activeCell="B33" sqref="B33"/>
    </sheetView>
  </sheetViews>
  <sheetFormatPr baseColWidth="10" defaultColWidth="8.6640625" defaultRowHeight="15" x14ac:dyDescent="0.2"/>
  <cols>
    <col min="1" max="1" width="26.6640625" style="33" customWidth="1"/>
    <col min="2" max="2" width="65.6640625" style="33" customWidth="1"/>
    <col min="3" max="3" width="8.6640625" style="33"/>
    <col min="4" max="4" width="62.33203125" style="33" customWidth="1"/>
    <col min="5" max="16384" width="8.6640625" style="33"/>
  </cols>
  <sheetData>
    <row r="1" spans="2:4" x14ac:dyDescent="0.2">
      <c r="C1" s="33" t="s">
        <v>17</v>
      </c>
    </row>
    <row r="3" spans="2:4" ht="16" x14ac:dyDescent="0.2">
      <c r="B3" s="46" t="s">
        <v>75</v>
      </c>
      <c r="C3" s="45" t="s">
        <v>74</v>
      </c>
      <c r="D3" s="46" t="s">
        <v>77</v>
      </c>
    </row>
    <row r="4" spans="2:4" ht="16" x14ac:dyDescent="0.2">
      <c r="B4" s="43" t="s">
        <v>92</v>
      </c>
      <c r="C4" s="44">
        <v>0.15</v>
      </c>
      <c r="D4" s="43" t="s">
        <v>78</v>
      </c>
    </row>
    <row r="5" spans="2:4" ht="16" x14ac:dyDescent="0.2">
      <c r="B5" s="38" t="s">
        <v>93</v>
      </c>
      <c r="C5" s="39">
        <v>0.26</v>
      </c>
      <c r="D5" s="38" t="s">
        <v>78</v>
      </c>
    </row>
    <row r="6" spans="2:4" ht="16" x14ac:dyDescent="0.2">
      <c r="B6" s="47" t="s">
        <v>73</v>
      </c>
      <c r="C6" s="48">
        <v>0.8</v>
      </c>
      <c r="D6" s="47" t="s">
        <v>79</v>
      </c>
    </row>
    <row r="7" spans="2:4" ht="16" x14ac:dyDescent="0.2">
      <c r="B7" s="51" t="s">
        <v>105</v>
      </c>
      <c r="C7" s="52">
        <f>(C5-C4)*C6+C4</f>
        <v>0.23800000000000002</v>
      </c>
      <c r="D7" s="51" t="s">
        <v>80</v>
      </c>
    </row>
    <row r="8" spans="2:4" ht="16" x14ac:dyDescent="0.2">
      <c r="B8" s="38" t="s">
        <v>106</v>
      </c>
      <c r="C8" s="40">
        <f>C7/C4-1</f>
        <v>0.58666666666666689</v>
      </c>
      <c r="D8" s="38" t="s">
        <v>80</v>
      </c>
    </row>
    <row r="9" spans="2:4" x14ac:dyDescent="0.2">
      <c r="B9" s="38"/>
      <c r="C9" s="40"/>
      <c r="D9" s="38"/>
    </row>
    <row r="10" spans="2:4" ht="16" x14ac:dyDescent="0.2">
      <c r="B10" s="38" t="s">
        <v>76</v>
      </c>
      <c r="C10" s="41">
        <v>1.8089999999999999</v>
      </c>
      <c r="D10" s="38" t="s">
        <v>82</v>
      </c>
    </row>
    <row r="11" spans="2:4" ht="16" x14ac:dyDescent="0.2">
      <c r="B11" s="38" t="s">
        <v>83</v>
      </c>
      <c r="C11" s="41">
        <f>C10*1.05</f>
        <v>1.8994500000000001</v>
      </c>
      <c r="D11" s="38" t="s">
        <v>81</v>
      </c>
    </row>
    <row r="12" spans="2:4" ht="16" x14ac:dyDescent="0.2">
      <c r="B12" s="47" t="s">
        <v>84</v>
      </c>
      <c r="C12" s="50">
        <v>39.5</v>
      </c>
      <c r="D12" s="47" t="s">
        <v>82</v>
      </c>
    </row>
    <row r="13" spans="2:4" ht="16" x14ac:dyDescent="0.2">
      <c r="B13" s="38" t="s">
        <v>85</v>
      </c>
      <c r="C13" s="42">
        <f>C12/C11</f>
        <v>20.795493432309353</v>
      </c>
      <c r="D13" s="38" t="s">
        <v>80</v>
      </c>
    </row>
    <row r="14" spans="2:4" ht="32.25" customHeight="1" x14ac:dyDescent="0.2">
      <c r="B14" s="38" t="s">
        <v>86</v>
      </c>
      <c r="C14" s="41">
        <f>C11*(1+C8)</f>
        <v>3.0137940000000008</v>
      </c>
      <c r="D14" s="38" t="s">
        <v>96</v>
      </c>
    </row>
    <row r="15" spans="2:4" ht="16" x14ac:dyDescent="0.2">
      <c r="B15" s="49" t="s">
        <v>87</v>
      </c>
      <c r="C15" s="50">
        <v>22</v>
      </c>
      <c r="D15" s="49" t="s">
        <v>79</v>
      </c>
    </row>
    <row r="16" spans="2:4" ht="17" thickBot="1" x14ac:dyDescent="0.25">
      <c r="B16" s="53" t="s">
        <v>88</v>
      </c>
      <c r="C16" s="54">
        <f>C14*C15</f>
        <v>66.303468000000009</v>
      </c>
      <c r="D16" s="55" t="s">
        <v>80</v>
      </c>
    </row>
    <row r="18" spans="2:3" ht="24" x14ac:dyDescent="0.3">
      <c r="B18" s="83" t="s">
        <v>133</v>
      </c>
    </row>
    <row r="19" spans="2:3" ht="15" customHeight="1" x14ac:dyDescent="0.2">
      <c r="B19" s="66" t="s">
        <v>75</v>
      </c>
      <c r="C19" s="67" t="s">
        <v>74</v>
      </c>
    </row>
    <row r="20" spans="2:3" ht="15" customHeight="1" x14ac:dyDescent="0.2">
      <c r="B20" s="68" t="s">
        <v>92</v>
      </c>
      <c r="C20" s="69">
        <v>0.15</v>
      </c>
    </row>
    <row r="21" spans="2:3" ht="15" customHeight="1" x14ac:dyDescent="0.2">
      <c r="B21" s="70" t="s">
        <v>93</v>
      </c>
      <c r="C21" s="71">
        <v>0.26</v>
      </c>
    </row>
    <row r="22" spans="2:3" ht="15" customHeight="1" x14ac:dyDescent="0.2">
      <c r="B22" s="72" t="s">
        <v>73</v>
      </c>
      <c r="C22" s="73">
        <v>0.8</v>
      </c>
    </row>
    <row r="23" spans="2:3" ht="15" customHeight="1" x14ac:dyDescent="0.2">
      <c r="B23" s="74" t="s">
        <v>105</v>
      </c>
      <c r="C23" s="75">
        <v>0.23800000000000002</v>
      </c>
    </row>
    <row r="24" spans="2:3" ht="15" customHeight="1" x14ac:dyDescent="0.2">
      <c r="B24" s="70" t="s">
        <v>106</v>
      </c>
      <c r="C24" s="76">
        <v>0.58666666666666689</v>
      </c>
    </row>
    <row r="25" spans="2:3" ht="15" customHeight="1" x14ac:dyDescent="0.2">
      <c r="B25" s="70" t="s">
        <v>76</v>
      </c>
      <c r="C25" s="77" t="s">
        <v>101</v>
      </c>
    </row>
    <row r="26" spans="2:3" ht="15" customHeight="1" x14ac:dyDescent="0.2">
      <c r="B26" s="70" t="s">
        <v>83</v>
      </c>
      <c r="C26" s="77" t="s">
        <v>102</v>
      </c>
    </row>
    <row r="27" spans="2:3" ht="15" customHeight="1" x14ac:dyDescent="0.2">
      <c r="B27" s="72" t="s">
        <v>84</v>
      </c>
      <c r="C27" s="78" t="s">
        <v>98</v>
      </c>
    </row>
    <row r="28" spans="2:3" ht="15" customHeight="1" x14ac:dyDescent="0.2">
      <c r="B28" s="70" t="s">
        <v>85</v>
      </c>
      <c r="C28" s="79" t="s">
        <v>99</v>
      </c>
    </row>
    <row r="29" spans="2:3" ht="15" customHeight="1" x14ac:dyDescent="0.2">
      <c r="B29" s="70" t="s">
        <v>86</v>
      </c>
      <c r="C29" s="77" t="s">
        <v>100</v>
      </c>
    </row>
    <row r="30" spans="2:3" ht="15" customHeight="1" x14ac:dyDescent="0.2">
      <c r="B30" s="80" t="s">
        <v>87</v>
      </c>
      <c r="C30" s="78">
        <v>22</v>
      </c>
    </row>
    <row r="31" spans="2:3" ht="15" customHeight="1" x14ac:dyDescent="0.2">
      <c r="B31" s="81" t="s">
        <v>88</v>
      </c>
      <c r="C31" s="82" t="s">
        <v>97</v>
      </c>
    </row>
    <row r="36" spans="1:4" x14ac:dyDescent="0.2">
      <c r="A36" s="33" t="s">
        <v>12</v>
      </c>
      <c r="C36" s="34">
        <v>50</v>
      </c>
      <c r="D36" s="34"/>
    </row>
    <row r="37" spans="1:4" x14ac:dyDescent="0.2">
      <c r="A37" s="35" t="s">
        <v>11</v>
      </c>
    </row>
    <row r="39" spans="1:4" x14ac:dyDescent="0.2">
      <c r="A39" s="33" t="s">
        <v>14</v>
      </c>
      <c r="B39" s="36">
        <v>20274.439999999999</v>
      </c>
    </row>
    <row r="40" spans="1:4" x14ac:dyDescent="0.2">
      <c r="A40" s="33" t="s">
        <v>13</v>
      </c>
      <c r="B40" s="37">
        <v>1714.7280000000001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87CA63-A113-42EE-88B6-05F638861225}">
  <dimension ref="A2:K87"/>
  <sheetViews>
    <sheetView workbookViewId="0">
      <selection activeCell="D116" sqref="D116"/>
    </sheetView>
  </sheetViews>
  <sheetFormatPr baseColWidth="10" defaultColWidth="8.6640625" defaultRowHeight="14" x14ac:dyDescent="0.2"/>
  <cols>
    <col min="1" max="1" width="40" style="4" customWidth="1"/>
    <col min="2" max="2" width="18.33203125" style="5" customWidth="1"/>
    <col min="3" max="3" width="21" style="5" customWidth="1"/>
    <col min="4" max="4" width="17.6640625" style="5" customWidth="1"/>
    <col min="5" max="5" width="13.6640625" style="4" customWidth="1"/>
    <col min="6" max="7" width="8.6640625" style="4"/>
    <col min="8" max="8" width="20.33203125" style="4" customWidth="1"/>
    <col min="9" max="16384" width="8.6640625" style="4"/>
  </cols>
  <sheetData>
    <row r="2" spans="1:11" x14ac:dyDescent="0.2">
      <c r="A2" s="100" t="s">
        <v>135</v>
      </c>
      <c r="G2" s="56"/>
      <c r="H2" s="56"/>
      <c r="I2" s="56"/>
      <c r="J2" s="56" t="s">
        <v>17</v>
      </c>
      <c r="K2" s="56" t="s">
        <v>18</v>
      </c>
    </row>
    <row r="3" spans="1:11" x14ac:dyDescent="0.2">
      <c r="A3" s="13"/>
      <c r="B3" s="3" t="s">
        <v>34</v>
      </c>
      <c r="C3" s="3" t="s">
        <v>9</v>
      </c>
      <c r="D3" s="8" t="s">
        <v>10</v>
      </c>
      <c r="G3" s="56" t="s">
        <v>15</v>
      </c>
      <c r="H3" s="56"/>
      <c r="I3" s="56"/>
      <c r="J3" s="56">
        <v>1.8089999999999999</v>
      </c>
      <c r="K3" s="56">
        <v>1.863</v>
      </c>
    </row>
    <row r="4" spans="1:11" x14ac:dyDescent="0.2">
      <c r="A4" s="10" t="s">
        <v>0</v>
      </c>
      <c r="B4" s="11"/>
      <c r="C4" s="11"/>
      <c r="G4" s="56" t="s">
        <v>16</v>
      </c>
      <c r="H4" s="56"/>
      <c r="I4" s="56"/>
      <c r="J4" s="57">
        <f>J3*(1+$I$11)</f>
        <v>2.8702800000000002</v>
      </c>
      <c r="K4" s="57">
        <f>K3*(1+$I$11)</f>
        <v>2.9559600000000006</v>
      </c>
    </row>
    <row r="5" spans="1:11" x14ac:dyDescent="0.2">
      <c r="A5" s="9" t="s">
        <v>24</v>
      </c>
      <c r="B5" s="95">
        <v>39.5</v>
      </c>
      <c r="C5" s="12">
        <f>B5*$H$16/1000</f>
        <v>67.731756000000004</v>
      </c>
      <c r="D5" s="6">
        <f>C5+$H$15/1000</f>
        <v>88.006196000000003</v>
      </c>
      <c r="G5" s="58" t="s">
        <v>72</v>
      </c>
      <c r="H5" s="56"/>
      <c r="I5" s="56">
        <v>22</v>
      </c>
      <c r="J5" s="56"/>
      <c r="K5" s="56"/>
    </row>
    <row r="6" spans="1:11" x14ac:dyDescent="0.2">
      <c r="A6" s="9" t="s">
        <v>25</v>
      </c>
      <c r="B6" s="95">
        <v>44.4</v>
      </c>
      <c r="C6" s="12">
        <f>B6*$H$16/1000</f>
        <v>76.133923199999998</v>
      </c>
      <c r="D6" s="6">
        <f>C6+$H$15/1000</f>
        <v>96.408363199999997</v>
      </c>
      <c r="G6" s="58" t="s">
        <v>22</v>
      </c>
      <c r="H6" s="56"/>
      <c r="I6" s="56">
        <v>22</v>
      </c>
      <c r="J6" s="59">
        <f>J4*$I$6</f>
        <v>63.146160000000002</v>
      </c>
      <c r="K6" s="59">
        <f>K4*$I$6</f>
        <v>65.031120000000016</v>
      </c>
    </row>
    <row r="7" spans="1:11" x14ac:dyDescent="0.2">
      <c r="A7" s="9" t="s">
        <v>26</v>
      </c>
      <c r="B7" s="95">
        <f>50/1.0641</f>
        <v>46.988065031482002</v>
      </c>
      <c r="C7" s="12">
        <f>B7*$H$16/1000</f>
        <v>80.571750775303059</v>
      </c>
      <c r="D7" s="6">
        <f>C7+$H$15/1000</f>
        <v>100.84619077530306</v>
      </c>
      <c r="G7" s="56" t="s">
        <v>19</v>
      </c>
      <c r="H7" s="56"/>
      <c r="I7" s="60">
        <v>0.15</v>
      </c>
      <c r="J7" s="56"/>
      <c r="K7" s="56"/>
    </row>
    <row r="8" spans="1:11" x14ac:dyDescent="0.2">
      <c r="A8" s="9" t="s">
        <v>27</v>
      </c>
      <c r="B8" s="95">
        <f>'Table 18.7 ST value'!C16</f>
        <v>66.303468000000009</v>
      </c>
      <c r="C8" s="12">
        <f>B8*$H$16/1000</f>
        <v>113.69241307670401</v>
      </c>
      <c r="D8" s="6">
        <f>C8+$H$15/1000</f>
        <v>133.96685307670401</v>
      </c>
      <c r="G8" s="56" t="s">
        <v>20</v>
      </c>
      <c r="H8" s="56"/>
      <c r="I8" s="60">
        <v>0.26</v>
      </c>
      <c r="J8" s="56"/>
      <c r="K8" s="56"/>
    </row>
    <row r="9" spans="1:11" x14ac:dyDescent="0.2">
      <c r="A9" s="9"/>
      <c r="B9" s="95"/>
      <c r="C9" s="11"/>
      <c r="G9" s="56" t="s">
        <v>94</v>
      </c>
      <c r="H9" s="56"/>
      <c r="I9" s="61">
        <v>0.8</v>
      </c>
      <c r="J9" s="56"/>
      <c r="K9" s="56"/>
    </row>
    <row r="10" spans="1:11" x14ac:dyDescent="0.2">
      <c r="A10" s="9" t="s">
        <v>28</v>
      </c>
      <c r="B10" s="95">
        <f>B8-B5</f>
        <v>26.803468000000009</v>
      </c>
      <c r="C10" s="12">
        <f>B10*$H$16/1000</f>
        <v>45.960657076704017</v>
      </c>
      <c r="D10" s="6"/>
      <c r="G10" s="56" t="s">
        <v>95</v>
      </c>
      <c r="H10" s="56"/>
      <c r="I10" s="61">
        <f>I7+I9*(I8-I7)</f>
        <v>0.23800000000000002</v>
      </c>
      <c r="J10" s="56"/>
      <c r="K10" s="56"/>
    </row>
    <row r="11" spans="1:11" x14ac:dyDescent="0.2">
      <c r="A11" s="9" t="s">
        <v>29</v>
      </c>
      <c r="B11" s="12">
        <f>B8-B7</f>
        <v>19.315402968518008</v>
      </c>
      <c r="C11" s="12">
        <f>B11*$H$16/1000</f>
        <v>33.120662301400948</v>
      </c>
      <c r="D11" s="6"/>
      <c r="E11" s="4" t="s">
        <v>23</v>
      </c>
      <c r="F11" s="7">
        <f>B11/B10</f>
        <v>0.720630739593772</v>
      </c>
      <c r="G11" s="56" t="s">
        <v>21</v>
      </c>
      <c r="H11" s="56"/>
      <c r="I11" s="61">
        <f>I10/I7-1</f>
        <v>0.58666666666666689</v>
      </c>
      <c r="J11" s="56"/>
      <c r="K11" s="56"/>
    </row>
    <row r="12" spans="1:11" x14ac:dyDescent="0.2">
      <c r="A12" s="9" t="s">
        <v>30</v>
      </c>
      <c r="B12" s="12">
        <f>B7-B5</f>
        <v>7.4880650314820016</v>
      </c>
      <c r="C12" s="12">
        <f>B12*$H$16/1000</f>
        <v>12.839994775303071</v>
      </c>
      <c r="D12" s="6"/>
      <c r="G12" s="56" t="s">
        <v>12</v>
      </c>
      <c r="H12" s="56"/>
      <c r="I12" s="62">
        <v>50</v>
      </c>
      <c r="J12" s="56"/>
      <c r="K12" s="56"/>
    </row>
    <row r="13" spans="1:11" x14ac:dyDescent="0.2">
      <c r="A13" s="9"/>
      <c r="B13" s="12"/>
      <c r="C13" s="11"/>
      <c r="G13" s="63" t="s">
        <v>11</v>
      </c>
      <c r="H13" s="56"/>
      <c r="I13" s="56"/>
      <c r="J13" s="56"/>
      <c r="K13" s="56"/>
    </row>
    <row r="14" spans="1:11" x14ac:dyDescent="0.2">
      <c r="A14" s="10" t="s">
        <v>1</v>
      </c>
      <c r="B14" s="12"/>
      <c r="C14" s="11"/>
      <c r="G14" s="56"/>
      <c r="H14" s="56"/>
      <c r="I14" s="56"/>
      <c r="J14" s="56"/>
      <c r="K14" s="56"/>
    </row>
    <row r="15" spans="1:11" x14ac:dyDescent="0.2">
      <c r="A15" s="9" t="s">
        <v>31</v>
      </c>
      <c r="B15" s="95">
        <f>'[1]DCF standalone'!$F$30</f>
        <v>64.717271509856872</v>
      </c>
      <c r="C15" s="12">
        <f>B15*$H$16/1000</f>
        <v>110.97251754155386</v>
      </c>
      <c r="D15" s="6">
        <f>'[2]DCF standalone'!$F$26/1000</f>
        <v>125.85109673686956</v>
      </c>
      <c r="G15" s="56" t="s">
        <v>14</v>
      </c>
      <c r="H15" s="64">
        <v>20274.439999999999</v>
      </c>
      <c r="I15" s="56"/>
      <c r="J15" s="56"/>
      <c r="K15" s="56"/>
    </row>
    <row r="16" spans="1:11" x14ac:dyDescent="0.2">
      <c r="A16" s="9" t="s">
        <v>32</v>
      </c>
      <c r="B16" s="95">
        <f>'[3]DCF Unilever in KHC'!$F$30</f>
        <v>58.248384671703413</v>
      </c>
      <c r="C16" s="12">
        <f>B16*$H$16/1000</f>
        <v>99.880136151340665</v>
      </c>
      <c r="D16" s="6">
        <f>'[2]DCF Unilever in KHC'!$F$26/1000</f>
        <v>116.53074270266475</v>
      </c>
      <c r="G16" s="56" t="s">
        <v>13</v>
      </c>
      <c r="H16" s="65">
        <v>1714.7280000000001</v>
      </c>
      <c r="I16" s="56"/>
      <c r="J16" s="56"/>
      <c r="K16" s="56"/>
    </row>
    <row r="17" spans="1:4" x14ac:dyDescent="0.2">
      <c r="A17" s="9" t="s">
        <v>33</v>
      </c>
      <c r="B17" s="95">
        <f>B16-B15</f>
        <v>-6.468886838153459</v>
      </c>
      <c r="C17" s="12">
        <f>B17*$H$16/1000</f>
        <v>-11.092381390213204</v>
      </c>
      <c r="D17" s="6">
        <f>C17*$H$16/1000</f>
        <v>-19.020416956477508</v>
      </c>
    </row>
    <row r="18" spans="1:4" x14ac:dyDescent="0.2">
      <c r="B18" s="4"/>
      <c r="C18" s="4"/>
      <c r="D18" s="4"/>
    </row>
    <row r="19" spans="1:4" x14ac:dyDescent="0.2">
      <c r="A19" s="4" t="s">
        <v>36</v>
      </c>
    </row>
    <row r="20" spans="1:4" x14ac:dyDescent="0.2">
      <c r="A20" s="13"/>
      <c r="B20" s="3" t="s">
        <v>34</v>
      </c>
      <c r="C20" s="3" t="s">
        <v>9</v>
      </c>
      <c r="D20" s="3" t="s">
        <v>130</v>
      </c>
    </row>
    <row r="21" spans="1:4" x14ac:dyDescent="0.2">
      <c r="A21" s="10" t="s">
        <v>0</v>
      </c>
      <c r="B21" s="11"/>
      <c r="C21" s="11"/>
    </row>
    <row r="22" spans="1:4" x14ac:dyDescent="0.2">
      <c r="A22" s="9" t="s">
        <v>24</v>
      </c>
      <c r="B22" s="12">
        <v>39.5</v>
      </c>
      <c r="C22" s="12">
        <v>67.731756000000004</v>
      </c>
    </row>
    <row r="23" spans="1:4" x14ac:dyDescent="0.2">
      <c r="A23" s="9" t="s">
        <v>25</v>
      </c>
      <c r="B23" s="12">
        <v>44.4</v>
      </c>
      <c r="C23" s="12">
        <v>76.133923199999998</v>
      </c>
    </row>
    <row r="24" spans="1:4" x14ac:dyDescent="0.2">
      <c r="A24" s="9" t="s">
        <v>26</v>
      </c>
      <c r="B24" s="12">
        <v>46.988065031482002</v>
      </c>
      <c r="C24" s="12">
        <v>80.571750775303059</v>
      </c>
    </row>
    <row r="25" spans="1:4" x14ac:dyDescent="0.2">
      <c r="A25" s="9" t="s">
        <v>27</v>
      </c>
      <c r="B25" s="12">
        <v>65.8476</v>
      </c>
      <c r="C25" s="12">
        <v>112.9107234528</v>
      </c>
    </row>
    <row r="26" spans="1:4" x14ac:dyDescent="0.2">
      <c r="A26" s="9"/>
      <c r="B26" s="12"/>
      <c r="C26" s="11"/>
    </row>
    <row r="27" spans="1:4" x14ac:dyDescent="0.2">
      <c r="A27" s="9" t="s">
        <v>28</v>
      </c>
      <c r="B27" s="12">
        <v>26.3476</v>
      </c>
      <c r="C27" s="12">
        <v>45.178967452800002</v>
      </c>
    </row>
    <row r="28" spans="1:4" x14ac:dyDescent="0.2">
      <c r="A28" s="9" t="s">
        <v>29</v>
      </c>
      <c r="B28" s="12">
        <v>18.859534968517998</v>
      </c>
      <c r="C28" s="12">
        <v>32.338972677496933</v>
      </c>
    </row>
    <row r="29" spans="1:4" x14ac:dyDescent="0.2">
      <c r="A29" s="9" t="s">
        <v>30</v>
      </c>
      <c r="B29" s="12">
        <v>7.4880650314820016</v>
      </c>
      <c r="C29" s="12">
        <v>12.839994775303071</v>
      </c>
    </row>
    <row r="30" spans="1:4" x14ac:dyDescent="0.2">
      <c r="A30" s="9"/>
      <c r="B30" s="12"/>
      <c r="C30" s="11"/>
    </row>
    <row r="31" spans="1:4" x14ac:dyDescent="0.2">
      <c r="A31" s="10" t="s">
        <v>1</v>
      </c>
      <c r="B31" s="12"/>
      <c r="C31" s="11"/>
    </row>
    <row r="32" spans="1:4" x14ac:dyDescent="0.2">
      <c r="A32" s="9" t="s">
        <v>31</v>
      </c>
      <c r="B32" s="95">
        <v>64.717271509856872</v>
      </c>
      <c r="C32" s="12">
        <v>110.97251754155386</v>
      </c>
    </row>
    <row r="33" spans="1:4" x14ac:dyDescent="0.2">
      <c r="A33" s="9" t="s">
        <v>32</v>
      </c>
      <c r="B33" s="95">
        <v>58.248384671703413</v>
      </c>
      <c r="C33" s="12">
        <v>99.880136151340665</v>
      </c>
    </row>
    <row r="34" spans="1:4" x14ac:dyDescent="0.2">
      <c r="A34" s="9" t="s">
        <v>33</v>
      </c>
      <c r="B34" s="95">
        <v>-6</v>
      </c>
      <c r="C34" s="12">
        <v>-11.092381390213204</v>
      </c>
    </row>
    <row r="37" spans="1:4" x14ac:dyDescent="0.2">
      <c r="A37" s="9" t="s">
        <v>91</v>
      </c>
      <c r="B37" s="12">
        <f>B5</f>
        <v>39.5</v>
      </c>
    </row>
    <row r="38" spans="1:4" x14ac:dyDescent="0.2">
      <c r="A38" s="9" t="s">
        <v>89</v>
      </c>
      <c r="B38" s="12">
        <f>B7</f>
        <v>46.988065031482002</v>
      </c>
    </row>
    <row r="39" spans="1:4" x14ac:dyDescent="0.2">
      <c r="A39" s="9" t="s">
        <v>90</v>
      </c>
      <c r="B39" s="12">
        <f>B8</f>
        <v>66.303468000000009</v>
      </c>
    </row>
    <row r="40" spans="1:4" x14ac:dyDescent="0.2">
      <c r="A40" s="5"/>
    </row>
    <row r="41" spans="1:4" x14ac:dyDescent="0.2">
      <c r="A41" s="100" t="s">
        <v>134</v>
      </c>
    </row>
    <row r="42" spans="1:4" x14ac:dyDescent="0.2">
      <c r="A42" s="9" t="s">
        <v>40</v>
      </c>
      <c r="B42" s="95">
        <f>B32</f>
        <v>64.717271509856872</v>
      </c>
      <c r="C42" s="12">
        <f>B42*$H$16/1000</f>
        <v>110.97251754155386</v>
      </c>
      <c r="D42" s="12">
        <f>C42-C22</f>
        <v>43.240761541553852</v>
      </c>
    </row>
    <row r="43" spans="1:4" x14ac:dyDescent="0.2">
      <c r="A43" s="9" t="s">
        <v>129</v>
      </c>
      <c r="B43" s="95">
        <f>B33</f>
        <v>58.248384671703413</v>
      </c>
      <c r="C43" s="12">
        <f>B43*$H$16/1000</f>
        <v>99.880136151340665</v>
      </c>
      <c r="D43" s="12">
        <f>C43-C42</f>
        <v>-11.092381390213191</v>
      </c>
    </row>
    <row r="44" spans="1:4" x14ac:dyDescent="0.2">
      <c r="C44" s="6"/>
      <c r="D44" s="6"/>
    </row>
    <row r="45" spans="1:4" x14ac:dyDescent="0.2">
      <c r="C45" s="6"/>
      <c r="D45" s="6"/>
    </row>
    <row r="46" spans="1:4" x14ac:dyDescent="0.2">
      <c r="A46" s="9" t="s">
        <v>127</v>
      </c>
      <c r="B46" s="12">
        <f>B17</f>
        <v>-6.468886838153459</v>
      </c>
      <c r="C46" s="12">
        <f>B46*$H$16/1000</f>
        <v>-11.092381390213204</v>
      </c>
      <c r="D46" s="12">
        <f>D43</f>
        <v>-11.092381390213191</v>
      </c>
    </row>
    <row r="47" spans="1:4" x14ac:dyDescent="0.2">
      <c r="A47" s="9" t="s">
        <v>103</v>
      </c>
      <c r="B47" s="95">
        <f>'Table 18.10 S + 18.11 E'!B12+'Table 18.10 S + 18.11 E'!C12</f>
        <v>-22.200330765587072</v>
      </c>
      <c r="C47" s="12">
        <f t="shared" ref="C47:C49" si="0">B47*$H$16/1000</f>
        <v>-38.067528773013592</v>
      </c>
      <c r="D47" s="12">
        <f>C47</f>
        <v>-38.067528773013592</v>
      </c>
    </row>
    <row r="48" spans="1:4" x14ac:dyDescent="0.2">
      <c r="A48" s="9" t="s">
        <v>128</v>
      </c>
      <c r="B48" s="95">
        <f>'Table 18.10 S + 18.11 E'!F12</f>
        <v>-7.8252861968093654</v>
      </c>
      <c r="C48" s="12">
        <f t="shared" si="0"/>
        <v>-13.41823734968253</v>
      </c>
      <c r="D48" s="12">
        <f>C48</f>
        <v>-13.41823734968253</v>
      </c>
    </row>
    <row r="49" spans="1:8" x14ac:dyDescent="0.2">
      <c r="A49" s="9" t="s">
        <v>104</v>
      </c>
      <c r="B49" s="95">
        <f>B46+B47+B48</f>
        <v>-36.494503800549893</v>
      </c>
      <c r="C49" s="12">
        <f t="shared" si="0"/>
        <v>-62.578147512909318</v>
      </c>
      <c r="D49" s="12">
        <f>C49</f>
        <v>-62.578147512909318</v>
      </c>
    </row>
    <row r="50" spans="1:8" x14ac:dyDescent="0.2">
      <c r="C50" s="6"/>
    </row>
    <row r="59" spans="1:8" ht="15" x14ac:dyDescent="0.2">
      <c r="A59"/>
      <c r="B59"/>
      <c r="C59"/>
      <c r="D59"/>
      <c r="E59"/>
      <c r="F59"/>
      <c r="G59"/>
      <c r="H59"/>
    </row>
    <row r="60" spans="1:8" ht="15" x14ac:dyDescent="0.2">
      <c r="A60"/>
      <c r="B60"/>
      <c r="C60"/>
      <c r="D60"/>
      <c r="E60"/>
      <c r="F60"/>
      <c r="G60"/>
      <c r="H60"/>
    </row>
    <row r="61" spans="1:8" ht="15" x14ac:dyDescent="0.2">
      <c r="A61"/>
      <c r="B61"/>
      <c r="C61"/>
      <c r="D61"/>
      <c r="E61"/>
      <c r="F61"/>
      <c r="G61"/>
      <c r="H61"/>
    </row>
    <row r="62" spans="1:8" ht="15" x14ac:dyDescent="0.2">
      <c r="A62"/>
      <c r="B62"/>
      <c r="C62"/>
      <c r="D62"/>
      <c r="E62"/>
      <c r="F62"/>
      <c r="G62"/>
      <c r="H62"/>
    </row>
    <row r="63" spans="1:8" ht="15" x14ac:dyDescent="0.2">
      <c r="A63"/>
      <c r="B63"/>
      <c r="C63"/>
      <c r="D63"/>
      <c r="E63"/>
      <c r="F63"/>
      <c r="G63"/>
      <c r="H63"/>
    </row>
    <row r="64" spans="1:8" ht="15" x14ac:dyDescent="0.2">
      <c r="A64"/>
      <c r="B64"/>
      <c r="C64"/>
      <c r="D64"/>
      <c r="E64"/>
      <c r="F64"/>
      <c r="G64"/>
      <c r="H64"/>
    </row>
    <row r="65" spans="1:8" ht="15" x14ac:dyDescent="0.2">
      <c r="A65"/>
      <c r="B65"/>
      <c r="C65"/>
      <c r="D65"/>
      <c r="E65"/>
      <c r="F65"/>
      <c r="G65"/>
      <c r="H65"/>
    </row>
    <row r="66" spans="1:8" ht="15" x14ac:dyDescent="0.2">
      <c r="A66"/>
      <c r="B66"/>
      <c r="C66"/>
      <c r="D66"/>
      <c r="E66"/>
      <c r="F66"/>
      <c r="G66"/>
      <c r="H66"/>
    </row>
    <row r="67" spans="1:8" ht="15" x14ac:dyDescent="0.2">
      <c r="A67"/>
      <c r="B67"/>
      <c r="C67"/>
      <c r="D67"/>
      <c r="E67"/>
      <c r="F67"/>
      <c r="G67"/>
      <c r="H67"/>
    </row>
    <row r="68" spans="1:8" ht="15" x14ac:dyDescent="0.2">
      <c r="A68"/>
      <c r="B68"/>
      <c r="C68"/>
      <c r="D68"/>
      <c r="E68"/>
      <c r="F68"/>
      <c r="G68"/>
      <c r="H68"/>
    </row>
    <row r="69" spans="1:8" ht="15" x14ac:dyDescent="0.2">
      <c r="A69"/>
      <c r="B69"/>
      <c r="C69"/>
      <c r="D69"/>
      <c r="E69"/>
      <c r="F69"/>
      <c r="G69"/>
      <c r="H69"/>
    </row>
    <row r="70" spans="1:8" ht="15" x14ac:dyDescent="0.2">
      <c r="A70"/>
      <c r="B70"/>
      <c r="C70"/>
      <c r="D70"/>
      <c r="E70"/>
      <c r="F70"/>
      <c r="G70"/>
      <c r="H70"/>
    </row>
    <row r="71" spans="1:8" ht="15" x14ac:dyDescent="0.2">
      <c r="A71"/>
      <c r="B71"/>
      <c r="C71"/>
      <c r="D71"/>
      <c r="E71"/>
      <c r="F71"/>
      <c r="G71"/>
      <c r="H71"/>
    </row>
    <row r="72" spans="1:8" ht="15" x14ac:dyDescent="0.2">
      <c r="A72"/>
      <c r="B72"/>
      <c r="C72"/>
      <c r="D72"/>
      <c r="E72"/>
      <c r="F72"/>
      <c r="G72"/>
      <c r="H72"/>
    </row>
    <row r="73" spans="1:8" ht="15" x14ac:dyDescent="0.2">
      <c r="A73"/>
      <c r="B73"/>
      <c r="C73"/>
      <c r="D73"/>
      <c r="E73"/>
      <c r="F73"/>
      <c r="G73"/>
      <c r="H73"/>
    </row>
    <row r="74" spans="1:8" ht="15" x14ac:dyDescent="0.2">
      <c r="A74"/>
      <c r="B74"/>
      <c r="C74"/>
      <c r="D74"/>
      <c r="E74"/>
      <c r="F74"/>
      <c r="G74"/>
      <c r="H74"/>
    </row>
    <row r="75" spans="1:8" ht="15" x14ac:dyDescent="0.2">
      <c r="A75"/>
      <c r="B75"/>
      <c r="C75"/>
      <c r="D75"/>
      <c r="E75"/>
      <c r="F75"/>
      <c r="G75"/>
      <c r="H75"/>
    </row>
    <row r="76" spans="1:8" ht="15" x14ac:dyDescent="0.2">
      <c r="A76"/>
      <c r="B76"/>
      <c r="C76"/>
      <c r="D76"/>
      <c r="E76"/>
      <c r="F76"/>
      <c r="G76"/>
      <c r="H76"/>
    </row>
    <row r="77" spans="1:8" ht="15" x14ac:dyDescent="0.2">
      <c r="A77"/>
      <c r="B77"/>
      <c r="C77"/>
      <c r="D77"/>
      <c r="E77"/>
      <c r="F77"/>
      <c r="G77"/>
      <c r="H77"/>
    </row>
    <row r="78" spans="1:8" ht="15" x14ac:dyDescent="0.2">
      <c r="A78"/>
      <c r="B78"/>
      <c r="C78"/>
      <c r="D78"/>
      <c r="E78"/>
      <c r="F78"/>
      <c r="G78"/>
      <c r="H78"/>
    </row>
    <row r="79" spans="1:8" ht="15" x14ac:dyDescent="0.2">
      <c r="A79"/>
      <c r="B79"/>
      <c r="C79"/>
      <c r="D79"/>
      <c r="E79"/>
      <c r="F79"/>
      <c r="G79"/>
      <c r="H79"/>
    </row>
    <row r="80" spans="1:8" ht="15" x14ac:dyDescent="0.2">
      <c r="A80"/>
      <c r="B80"/>
      <c r="C80"/>
      <c r="D80"/>
      <c r="E80"/>
      <c r="F80"/>
      <c r="G80"/>
      <c r="H80"/>
    </row>
    <row r="81" spans="1:8" ht="15" x14ac:dyDescent="0.2">
      <c r="A81"/>
      <c r="B81"/>
      <c r="C81"/>
      <c r="D81"/>
      <c r="E81"/>
      <c r="F81"/>
      <c r="G81"/>
      <c r="H81"/>
    </row>
    <row r="82" spans="1:8" ht="15" x14ac:dyDescent="0.2">
      <c r="A82"/>
      <c r="B82"/>
      <c r="C82"/>
      <c r="D82"/>
      <c r="E82"/>
      <c r="F82"/>
      <c r="G82"/>
      <c r="H82"/>
    </row>
    <row r="83" spans="1:8" ht="15" x14ac:dyDescent="0.2">
      <c r="A83"/>
      <c r="B83"/>
      <c r="C83"/>
      <c r="D83"/>
      <c r="E83"/>
      <c r="F83"/>
      <c r="G83"/>
      <c r="H83"/>
    </row>
    <row r="84" spans="1:8" ht="15" x14ac:dyDescent="0.2">
      <c r="A84"/>
      <c r="B84"/>
      <c r="C84"/>
      <c r="D84"/>
      <c r="E84"/>
      <c r="F84"/>
      <c r="G84"/>
      <c r="H84"/>
    </row>
    <row r="85" spans="1:8" ht="15" x14ac:dyDescent="0.2">
      <c r="A85"/>
      <c r="B85"/>
      <c r="C85"/>
      <c r="D85"/>
      <c r="E85"/>
      <c r="F85"/>
      <c r="G85"/>
      <c r="H85"/>
    </row>
    <row r="86" spans="1:8" ht="15" x14ac:dyDescent="0.2">
      <c r="A86"/>
      <c r="B86"/>
      <c r="C86"/>
      <c r="D86"/>
      <c r="E86"/>
      <c r="F86"/>
      <c r="G86"/>
      <c r="H86"/>
    </row>
    <row r="87" spans="1:8" ht="15" x14ac:dyDescent="0.2">
      <c r="A87"/>
      <c r="B87"/>
      <c r="C87"/>
      <c r="D87"/>
      <c r="E87"/>
      <c r="F87"/>
      <c r="G87"/>
      <c r="H87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CF0B43-9F83-487C-9BCD-624FA1E22860}">
  <dimension ref="A1:Z27"/>
  <sheetViews>
    <sheetView tabSelected="1" workbookViewId="0">
      <selection activeCell="H5" sqref="H5"/>
    </sheetView>
  </sheetViews>
  <sheetFormatPr baseColWidth="10" defaultColWidth="8.6640625" defaultRowHeight="14" x14ac:dyDescent="0.2"/>
  <cols>
    <col min="1" max="1" width="29.1640625" style="22" customWidth="1"/>
    <col min="2" max="2" width="34.5" style="23" customWidth="1"/>
    <col min="3" max="3" width="38.5" style="23" customWidth="1"/>
    <col min="4" max="4" width="5.33203125" style="23" customWidth="1"/>
    <col min="5" max="5" width="26.33203125" style="23" customWidth="1"/>
    <col min="6" max="6" width="30.33203125" style="23" customWidth="1"/>
    <col min="7" max="7" width="5.1640625" style="22" customWidth="1"/>
    <col min="8" max="8" width="14.5" style="22" customWidth="1"/>
    <col min="9" max="10" width="8.6640625" style="22"/>
    <col min="11" max="11" width="18" style="22" customWidth="1"/>
    <col min="12" max="12" width="8.6640625" style="22" customWidth="1"/>
    <col min="13" max="13" width="9" style="22" customWidth="1"/>
    <col min="14" max="14" width="9.1640625" style="22" customWidth="1"/>
    <col min="15" max="15" width="7.83203125" style="22" customWidth="1"/>
    <col min="16" max="16" width="8.5" style="22" customWidth="1"/>
    <col min="17" max="17" width="8.6640625" style="22"/>
    <col min="18" max="18" width="7.6640625" style="22" customWidth="1"/>
    <col min="19" max="16384" width="8.6640625" style="22"/>
  </cols>
  <sheetData>
    <row r="1" spans="1:26" ht="52" x14ac:dyDescent="0.2">
      <c r="A1" s="86" t="s">
        <v>49</v>
      </c>
      <c r="E1" s="86" t="s">
        <v>48</v>
      </c>
      <c r="H1" s="98" t="s">
        <v>132</v>
      </c>
    </row>
    <row r="2" spans="1:26" ht="15" thickBot="1" x14ac:dyDescent="0.25">
      <c r="F2" s="30"/>
      <c r="L2" s="22">
        <v>2017</v>
      </c>
      <c r="M2" s="22">
        <f>L2+1</f>
        <v>2018</v>
      </c>
      <c r="N2" s="22">
        <f t="shared" ref="N2:Z2" si="0">M2+1</f>
        <v>2019</v>
      </c>
      <c r="O2" s="22">
        <f t="shared" si="0"/>
        <v>2020</v>
      </c>
      <c r="P2" s="22">
        <f t="shared" si="0"/>
        <v>2021</v>
      </c>
      <c r="Q2" s="22">
        <f t="shared" si="0"/>
        <v>2022</v>
      </c>
      <c r="R2" s="22">
        <f t="shared" si="0"/>
        <v>2023</v>
      </c>
      <c r="S2" s="22">
        <f t="shared" si="0"/>
        <v>2024</v>
      </c>
      <c r="T2" s="22">
        <f t="shared" si="0"/>
        <v>2025</v>
      </c>
      <c r="U2" s="22">
        <f t="shared" si="0"/>
        <v>2026</v>
      </c>
      <c r="V2" s="22">
        <f t="shared" si="0"/>
        <v>2027</v>
      </c>
      <c r="W2" s="22">
        <f t="shared" si="0"/>
        <v>2028</v>
      </c>
      <c r="X2" s="22">
        <f t="shared" si="0"/>
        <v>2029</v>
      </c>
      <c r="Y2" s="22">
        <f>X2+1</f>
        <v>2030</v>
      </c>
      <c r="Z2" s="22">
        <f t="shared" si="0"/>
        <v>2031</v>
      </c>
    </row>
    <row r="3" spans="1:26" ht="19" x14ac:dyDescent="0.2">
      <c r="A3" s="84" t="s">
        <v>5</v>
      </c>
      <c r="B3" s="85" t="s">
        <v>2</v>
      </c>
      <c r="C3" s="85" t="s">
        <v>107</v>
      </c>
      <c r="E3" s="84" t="s">
        <v>108</v>
      </c>
      <c r="F3" s="94" t="s">
        <v>125</v>
      </c>
      <c r="J3" s="99" t="s">
        <v>48</v>
      </c>
      <c r="K3" s="22" t="s">
        <v>109</v>
      </c>
      <c r="L3" s="91">
        <f>F9</f>
        <v>-0.8357</v>
      </c>
      <c r="M3" s="91">
        <f>L3</f>
        <v>-0.8357</v>
      </c>
      <c r="N3" s="91">
        <f t="shared" ref="N3:Z3" si="1">M3</f>
        <v>-0.8357</v>
      </c>
      <c r="O3" s="91">
        <f t="shared" si="1"/>
        <v>-0.8357</v>
      </c>
      <c r="P3" s="91">
        <f t="shared" si="1"/>
        <v>-0.8357</v>
      </c>
      <c r="Q3" s="91">
        <f t="shared" si="1"/>
        <v>-0.8357</v>
      </c>
      <c r="R3" s="91">
        <f t="shared" si="1"/>
        <v>-0.8357</v>
      </c>
      <c r="S3" s="91">
        <f t="shared" si="1"/>
        <v>-0.8357</v>
      </c>
      <c r="T3" s="91">
        <f t="shared" si="1"/>
        <v>-0.8357</v>
      </c>
      <c r="U3" s="91">
        <f t="shared" si="1"/>
        <v>-0.8357</v>
      </c>
      <c r="V3" s="91">
        <f t="shared" si="1"/>
        <v>-0.8357</v>
      </c>
      <c r="W3" s="91">
        <f t="shared" si="1"/>
        <v>-0.8357</v>
      </c>
      <c r="X3" s="91">
        <f t="shared" si="1"/>
        <v>-0.8357</v>
      </c>
      <c r="Y3" s="91">
        <f t="shared" si="1"/>
        <v>-0.8357</v>
      </c>
      <c r="Z3" s="91">
        <f t="shared" si="1"/>
        <v>-0.8357</v>
      </c>
    </row>
    <row r="4" spans="1:26" ht="54.75" customHeight="1" x14ac:dyDescent="0.2">
      <c r="A4" s="26" t="s">
        <v>66</v>
      </c>
      <c r="B4" s="25" t="s">
        <v>55</v>
      </c>
      <c r="C4" s="25" t="s">
        <v>62</v>
      </c>
      <c r="E4" s="26" t="s">
        <v>66</v>
      </c>
      <c r="F4" s="25" t="s">
        <v>58</v>
      </c>
      <c r="J4" s="92"/>
      <c r="K4" s="22" t="s">
        <v>110</v>
      </c>
      <c r="L4" s="92">
        <v>3.5000000000000003E-2</v>
      </c>
    </row>
    <row r="5" spans="1:26" ht="42.75" customHeight="1" x14ac:dyDescent="0.2">
      <c r="A5" s="24" t="s">
        <v>56</v>
      </c>
      <c r="B5" s="25" t="s">
        <v>126</v>
      </c>
      <c r="C5" s="25" t="s">
        <v>117</v>
      </c>
      <c r="E5" s="24" t="s">
        <v>56</v>
      </c>
      <c r="F5" s="25" t="s">
        <v>124</v>
      </c>
      <c r="J5" s="92"/>
      <c r="K5" s="22" t="s">
        <v>111</v>
      </c>
      <c r="L5" s="92">
        <v>2.1999999999999999E-2</v>
      </c>
    </row>
    <row r="6" spans="1:26" ht="15" x14ac:dyDescent="0.2">
      <c r="A6" s="26" t="s">
        <v>63</v>
      </c>
      <c r="B6" s="25" t="s">
        <v>3</v>
      </c>
      <c r="C6" s="25" t="s">
        <v>3</v>
      </c>
      <c r="E6" s="26" t="s">
        <v>63</v>
      </c>
      <c r="F6" s="25" t="s">
        <v>57</v>
      </c>
      <c r="K6" s="22" t="s">
        <v>112</v>
      </c>
      <c r="L6" s="91">
        <f>L3*(POWER(1+$L$4,L2-2017))/(POWER(1+$L$5,L2-2016))</f>
        <v>-0.81771037181996087</v>
      </c>
      <c r="M6" s="91">
        <f t="shared" ref="M6:Z6" si="2">M3*(POWER(1+$L$4,M2-2017))/(POWER(1+$L$5,M2-2016))</f>
        <v>-0.82811177576679007</v>
      </c>
      <c r="N6" s="91">
        <f t="shared" si="2"/>
        <v>-0.83864548720022269</v>
      </c>
      <c r="O6" s="91">
        <f t="shared" si="2"/>
        <v>-0.84931318909220199</v>
      </c>
      <c r="P6" s="91">
        <f t="shared" si="2"/>
        <v>-0.86011658582233763</v>
      </c>
      <c r="Q6" s="91">
        <f t="shared" si="2"/>
        <v>-0.87105740345021465</v>
      </c>
      <c r="R6" s="91">
        <f t="shared" si="2"/>
        <v>-0.88213738999116642</v>
      </c>
      <c r="S6" s="91">
        <f t="shared" si="2"/>
        <v>-0.89335831569555491</v>
      </c>
      <c r="T6" s="91">
        <f t="shared" si="2"/>
        <v>-0.90472197333160398</v>
      </c>
      <c r="U6" s="91">
        <f t="shared" si="2"/>
        <v>-0.91623017847182975</v>
      </c>
      <c r="V6" s="91">
        <f t="shared" si="2"/>
        <v>-0.92788476978311507</v>
      </c>
      <c r="W6" s="91">
        <f t="shared" si="2"/>
        <v>-0.93968760932047379</v>
      </c>
      <c r="X6" s="91">
        <f t="shared" si="2"/>
        <v>-0.95164058282455</v>
      </c>
      <c r="Y6" s="91">
        <f t="shared" si="2"/>
        <v>-0.96374560002290544</v>
      </c>
      <c r="Z6" s="91">
        <f t="shared" si="2"/>
        <v>-0.97600459493513414</v>
      </c>
    </row>
    <row r="7" spans="1:26" ht="15" x14ac:dyDescent="0.2">
      <c r="A7" s="26" t="s">
        <v>4</v>
      </c>
      <c r="B7" s="27">
        <v>168.8</v>
      </c>
      <c r="C7" s="25">
        <v>3000</v>
      </c>
      <c r="E7" s="26" t="s">
        <v>4</v>
      </c>
      <c r="F7" s="89">
        <f>61000*0.1</f>
        <v>6100</v>
      </c>
      <c r="K7" s="22" t="s">
        <v>113</v>
      </c>
      <c r="L7" s="91">
        <f>SUM(L6:Z6)</f>
        <v>-13.420365827528062</v>
      </c>
    </row>
    <row r="8" spans="1:26" ht="15" x14ac:dyDescent="0.2">
      <c r="A8" s="26" t="s">
        <v>65</v>
      </c>
      <c r="B8" s="25">
        <v>-2250</v>
      </c>
      <c r="C8" s="25">
        <v>-750</v>
      </c>
      <c r="E8" s="26" t="s">
        <v>65</v>
      </c>
      <c r="F8" s="25">
        <v>-137</v>
      </c>
      <c r="K8" s="22" t="s">
        <v>114</v>
      </c>
      <c r="L8" s="91">
        <f>L7/1.715</f>
        <v>-7.8252861968093654</v>
      </c>
    </row>
    <row r="9" spans="1:26" ht="15" x14ac:dyDescent="0.2">
      <c r="A9" s="26" t="s">
        <v>64</v>
      </c>
      <c r="B9" s="28">
        <f>B7*B8/1000000</f>
        <v>-0.37980000000000003</v>
      </c>
      <c r="C9" s="28">
        <f>C7*C8/1000000</f>
        <v>-2.25</v>
      </c>
      <c r="E9" s="26" t="s">
        <v>64</v>
      </c>
      <c r="F9" s="28">
        <f>F7*F8/1000000</f>
        <v>-0.8357</v>
      </c>
      <c r="L9" s="91"/>
    </row>
    <row r="10" spans="1:26" ht="45" x14ac:dyDescent="0.2">
      <c r="A10" s="26" t="s">
        <v>116</v>
      </c>
      <c r="B10" s="29">
        <v>2.1999999999999999E-2</v>
      </c>
      <c r="C10" s="29">
        <f>B10</f>
        <v>2.1999999999999999E-2</v>
      </c>
      <c r="E10" s="26" t="s">
        <v>115</v>
      </c>
      <c r="F10" s="29">
        <v>2.1999999999999999E-2</v>
      </c>
      <c r="J10" s="99" t="s">
        <v>49</v>
      </c>
      <c r="K10" s="22" t="s">
        <v>118</v>
      </c>
      <c r="L10" s="91">
        <f>B9</f>
        <v>-0.37980000000000003</v>
      </c>
      <c r="M10" s="91">
        <f>L10</f>
        <v>-0.37980000000000003</v>
      </c>
      <c r="N10" s="91">
        <f t="shared" ref="N10:Z10" si="3">M10</f>
        <v>-0.37980000000000003</v>
      </c>
      <c r="O10" s="91">
        <f t="shared" si="3"/>
        <v>-0.37980000000000003</v>
      </c>
      <c r="P10" s="91">
        <f t="shared" si="3"/>
        <v>-0.37980000000000003</v>
      </c>
      <c r="Q10" s="91">
        <f t="shared" si="3"/>
        <v>-0.37980000000000003</v>
      </c>
      <c r="R10" s="91">
        <f t="shared" si="3"/>
        <v>-0.37980000000000003</v>
      </c>
      <c r="S10" s="91">
        <f t="shared" si="3"/>
        <v>-0.37980000000000003</v>
      </c>
      <c r="T10" s="91">
        <f t="shared" si="3"/>
        <v>-0.37980000000000003</v>
      </c>
      <c r="U10" s="91">
        <f t="shared" si="3"/>
        <v>-0.37980000000000003</v>
      </c>
      <c r="V10" s="91">
        <f t="shared" si="3"/>
        <v>-0.37980000000000003</v>
      </c>
      <c r="W10" s="91">
        <f t="shared" si="3"/>
        <v>-0.37980000000000003</v>
      </c>
      <c r="X10" s="91">
        <f t="shared" si="3"/>
        <v>-0.37980000000000003</v>
      </c>
      <c r="Y10" s="91">
        <f t="shared" si="3"/>
        <v>-0.37980000000000003</v>
      </c>
      <c r="Z10" s="91">
        <f t="shared" si="3"/>
        <v>-0.37980000000000003</v>
      </c>
    </row>
    <row r="11" spans="1:26" ht="15" x14ac:dyDescent="0.2">
      <c r="A11" s="26" t="s">
        <v>61</v>
      </c>
      <c r="B11" s="27">
        <f>L16</f>
        <v>-5.4986466067687676</v>
      </c>
      <c r="C11" s="27">
        <f>L17</f>
        <v>-32.574920656213067</v>
      </c>
      <c r="E11" s="26" t="s">
        <v>61</v>
      </c>
      <c r="F11" s="27">
        <f>L7</f>
        <v>-13.420365827528062</v>
      </c>
      <c r="H11" s="27">
        <f>B11+C11+F11</f>
        <v>-51.493933090509898</v>
      </c>
      <c r="I11" s="97"/>
      <c r="K11" s="22" t="s">
        <v>119</v>
      </c>
      <c r="L11" s="91">
        <f>C9</f>
        <v>-2.25</v>
      </c>
      <c r="M11" s="91">
        <f>L11</f>
        <v>-2.25</v>
      </c>
      <c r="N11" s="91">
        <f t="shared" ref="N11:Z11" si="4">M11</f>
        <v>-2.25</v>
      </c>
      <c r="O11" s="91">
        <f t="shared" si="4"/>
        <v>-2.25</v>
      </c>
      <c r="P11" s="91">
        <f t="shared" si="4"/>
        <v>-2.25</v>
      </c>
      <c r="Q11" s="91">
        <f t="shared" si="4"/>
        <v>-2.25</v>
      </c>
      <c r="R11" s="91">
        <f t="shared" si="4"/>
        <v>-2.25</v>
      </c>
      <c r="S11" s="91">
        <f t="shared" si="4"/>
        <v>-2.25</v>
      </c>
      <c r="T11" s="91">
        <f t="shared" si="4"/>
        <v>-2.25</v>
      </c>
      <c r="U11" s="91">
        <f t="shared" si="4"/>
        <v>-2.25</v>
      </c>
      <c r="V11" s="91">
        <f t="shared" si="4"/>
        <v>-2.25</v>
      </c>
      <c r="W11" s="91">
        <f t="shared" si="4"/>
        <v>-2.25</v>
      </c>
      <c r="X11" s="91">
        <f t="shared" si="4"/>
        <v>-2.25</v>
      </c>
      <c r="Y11" s="91">
        <f t="shared" si="4"/>
        <v>-2.25</v>
      </c>
      <c r="Z11" s="91">
        <f t="shared" si="4"/>
        <v>-2.25</v>
      </c>
    </row>
    <row r="12" spans="1:26" ht="16" thickBot="1" x14ac:dyDescent="0.25">
      <c r="A12" s="31" t="s">
        <v>60</v>
      </c>
      <c r="B12" s="32">
        <f>B11/1.715</f>
        <v>-3.2062079339759575</v>
      </c>
      <c r="C12" s="32">
        <f>C11/1.715</f>
        <v>-18.994122831611115</v>
      </c>
      <c r="E12" s="31" t="s">
        <v>60</v>
      </c>
      <c r="F12" s="32">
        <f>L8</f>
        <v>-7.8252861968093654</v>
      </c>
      <c r="H12" s="32">
        <f>B12+C12+F12</f>
        <v>-30.025616962396438</v>
      </c>
      <c r="I12" s="88"/>
      <c r="K12" s="22" t="s">
        <v>110</v>
      </c>
      <c r="L12" s="93">
        <v>0.02</v>
      </c>
    </row>
    <row r="13" spans="1:26" x14ac:dyDescent="0.2">
      <c r="A13" s="87"/>
      <c r="B13" s="88"/>
      <c r="C13" s="88"/>
      <c r="F13" s="88"/>
      <c r="H13" s="88"/>
      <c r="I13" s="88"/>
      <c r="K13" s="22" t="s">
        <v>111</v>
      </c>
      <c r="L13" s="92">
        <v>2.1999999999999999E-2</v>
      </c>
    </row>
    <row r="14" spans="1:26" x14ac:dyDescent="0.2">
      <c r="F14" s="90"/>
      <c r="K14" s="22" t="s">
        <v>122</v>
      </c>
      <c r="L14" s="91">
        <f t="shared" ref="L14:Z14" si="5">L10*(POWER(1+$L$12,L$2-2017))/(POWER(1+$L$13,L$2-2016))</f>
        <v>-0.37162426614481409</v>
      </c>
      <c r="M14" s="91">
        <f t="shared" si="5"/>
        <v>-0.37089701709169315</v>
      </c>
      <c r="N14" s="91">
        <f t="shared" si="5"/>
        <v>-0.37017119122654307</v>
      </c>
      <c r="O14" s="91">
        <f t="shared" si="5"/>
        <v>-0.36944678576426015</v>
      </c>
      <c r="P14" s="91">
        <f t="shared" si="5"/>
        <v>-0.36872379792519117</v>
      </c>
      <c r="Q14" s="91">
        <f t="shared" si="5"/>
        <v>-0.36800222493512241</v>
      </c>
      <c r="R14" s="91">
        <f t="shared" si="5"/>
        <v>-0.36728206402526886</v>
      </c>
      <c r="S14" s="91">
        <f t="shared" si="5"/>
        <v>-0.36656331243226431</v>
      </c>
      <c r="T14" s="91">
        <f t="shared" si="5"/>
        <v>-0.36584596739815034</v>
      </c>
      <c r="U14" s="91">
        <f t="shared" si="5"/>
        <v>-0.36513002617036533</v>
      </c>
      <c r="V14" s="91">
        <f t="shared" si="5"/>
        <v>-0.36441548600173446</v>
      </c>
      <c r="W14" s="91">
        <f t="shared" si="5"/>
        <v>-0.36370234415045899</v>
      </c>
      <c r="X14" s="91">
        <f t="shared" si="5"/>
        <v>-0.3629905978801059</v>
      </c>
      <c r="Y14" s="91">
        <f t="shared" si="5"/>
        <v>-0.36228024445959689</v>
      </c>
      <c r="Z14" s="91">
        <f t="shared" si="5"/>
        <v>-0.36157128116319848</v>
      </c>
    </row>
    <row r="15" spans="1:26" x14ac:dyDescent="0.2">
      <c r="K15" s="22" t="s">
        <v>123</v>
      </c>
      <c r="L15" s="91">
        <f t="shared" ref="L15:Z15" si="6">L11*(POWER(1+$L$12,L$2-2017))/(POWER(1+$L$13,L$2-2016))</f>
        <v>-2.2015655577299413</v>
      </c>
      <c r="M15" s="91">
        <f t="shared" si="6"/>
        <v>-2.1972572102588455</v>
      </c>
      <c r="N15" s="91">
        <f t="shared" si="6"/>
        <v>-2.1929572939961082</v>
      </c>
      <c r="O15" s="91">
        <f t="shared" si="6"/>
        <v>-2.1886657924422996</v>
      </c>
      <c r="P15" s="91">
        <f t="shared" si="6"/>
        <v>-2.1843826891302793</v>
      </c>
      <c r="Q15" s="91">
        <f t="shared" si="6"/>
        <v>-2.1801079676251325</v>
      </c>
      <c r="R15" s="91">
        <f t="shared" si="6"/>
        <v>-2.1758416115241048</v>
      </c>
      <c r="S15" s="91">
        <f t="shared" si="6"/>
        <v>-2.1715836044565422</v>
      </c>
      <c r="T15" s="91">
        <f t="shared" si="6"/>
        <v>-2.1673339300838292</v>
      </c>
      <c r="U15" s="91">
        <f t="shared" si="6"/>
        <v>-2.1630925720993206</v>
      </c>
      <c r="V15" s="91">
        <f t="shared" si="6"/>
        <v>-2.1588595142282845</v>
      </c>
      <c r="W15" s="91">
        <f t="shared" si="6"/>
        <v>-2.1546347402278374</v>
      </c>
      <c r="X15" s="91">
        <f t="shared" si="6"/>
        <v>-2.1504182338868829</v>
      </c>
      <c r="Y15" s="91">
        <f t="shared" si="6"/>
        <v>-2.146209979026048</v>
      </c>
      <c r="Z15" s="91">
        <f t="shared" si="6"/>
        <v>-2.1420099594976207</v>
      </c>
    </row>
    <row r="16" spans="1:26" ht="18" customHeight="1" x14ac:dyDescent="0.2">
      <c r="K16" s="22" t="s">
        <v>120</v>
      </c>
      <c r="L16" s="91">
        <f>SUM(L14:Z14)</f>
        <v>-5.4986466067687676</v>
      </c>
    </row>
    <row r="17" spans="1:12" ht="16" customHeight="1" x14ac:dyDescent="0.2">
      <c r="K17" s="22" t="s">
        <v>121</v>
      </c>
      <c r="L17" s="91">
        <f>SUM(L15:Z15)</f>
        <v>-32.574920656213067</v>
      </c>
    </row>
    <row r="18" spans="1:12" ht="30" x14ac:dyDescent="0.2">
      <c r="C18" s="96" t="s">
        <v>131</v>
      </c>
    </row>
    <row r="21" spans="1:12" x14ac:dyDescent="0.2">
      <c r="A21" s="22" t="s">
        <v>59</v>
      </c>
    </row>
    <row r="22" spans="1:12" x14ac:dyDescent="0.2">
      <c r="A22" s="22" t="s">
        <v>52</v>
      </c>
    </row>
    <row r="23" spans="1:12" x14ac:dyDescent="0.2">
      <c r="A23" s="22" t="s">
        <v>6</v>
      </c>
    </row>
    <row r="24" spans="1:12" x14ac:dyDescent="0.2">
      <c r="A24" s="22" t="s">
        <v>53</v>
      </c>
    </row>
    <row r="25" spans="1:12" x14ac:dyDescent="0.2">
      <c r="A25" s="22" t="s">
        <v>7</v>
      </c>
    </row>
    <row r="26" spans="1:12" x14ac:dyDescent="0.2">
      <c r="A26" s="22" t="s">
        <v>8</v>
      </c>
    </row>
    <row r="27" spans="1:12" x14ac:dyDescent="0.2">
      <c r="A27" s="22" t="s">
        <v>54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B0FCAC-6CA5-4769-9D54-C7B417097F02}">
  <dimension ref="A2:G29"/>
  <sheetViews>
    <sheetView topLeftCell="A7" workbookViewId="0">
      <selection activeCell="C3" sqref="C3"/>
    </sheetView>
  </sheetViews>
  <sheetFormatPr baseColWidth="10" defaultColWidth="8.6640625" defaultRowHeight="15" x14ac:dyDescent="0.2"/>
  <cols>
    <col min="1" max="1" width="42.83203125" style="14" customWidth="1"/>
    <col min="2" max="2" width="10.83203125" style="16" customWidth="1"/>
    <col min="3" max="3" width="15.33203125" style="16" customWidth="1"/>
    <col min="4" max="16384" width="8.6640625" style="14"/>
  </cols>
  <sheetData>
    <row r="2" spans="1:7" ht="32" x14ac:dyDescent="0.2">
      <c r="A2" s="17"/>
      <c r="B2" s="18" t="s">
        <v>43</v>
      </c>
      <c r="C2" s="18" t="s">
        <v>44</v>
      </c>
    </row>
    <row r="3" spans="1:7" x14ac:dyDescent="0.2">
      <c r="A3" s="19" t="s">
        <v>46</v>
      </c>
      <c r="B3" s="20">
        <f>'Table 18.8+12 compare ST LT'!B10</f>
        <v>26.803468000000009</v>
      </c>
      <c r="C3" s="20">
        <f>'Table 18.8+12 compare ST LT'!C10</f>
        <v>45.960657076704017</v>
      </c>
    </row>
    <row r="4" spans="1:7" x14ac:dyDescent="0.2">
      <c r="A4" s="19" t="s">
        <v>47</v>
      </c>
      <c r="B4" s="20">
        <f>'Table 18.8+12 compare ST LT'!B17</f>
        <v>-6.468886838153459</v>
      </c>
      <c r="C4" s="20">
        <f>'Table 18.8+12 compare ST LT'!C17</f>
        <v>-11.092381390213204</v>
      </c>
    </row>
    <row r="5" spans="1:7" x14ac:dyDescent="0.2">
      <c r="A5" s="19" t="s">
        <v>71</v>
      </c>
      <c r="B5" s="20">
        <f>'Table 18.10 S + 18.11 E'!H12</f>
        <v>-30.025616962396438</v>
      </c>
      <c r="C5" s="20">
        <f>'Table 18.10 S + 18.11 E'!H11</f>
        <v>-51.493933090509898</v>
      </c>
      <c r="G5" s="15">
        <f>'Table 18.8+12 compare ST LT'!H16</f>
        <v>1714.7280000000001</v>
      </c>
    </row>
    <row r="6" spans="1:7" x14ac:dyDescent="0.2">
      <c r="A6" s="1" t="s">
        <v>35</v>
      </c>
      <c r="B6" s="2">
        <f>B4+B5</f>
        <v>-36.494503800549893</v>
      </c>
      <c r="C6" s="2">
        <f>C4+C5</f>
        <v>-62.586314480723104</v>
      </c>
    </row>
    <row r="9" spans="1:7" x14ac:dyDescent="0.2">
      <c r="A9" s="14" t="s">
        <v>37</v>
      </c>
      <c r="B9" s="21">
        <f>'Table 18.8+12 compare ST LT'!B5</f>
        <v>39.5</v>
      </c>
    </row>
    <row r="10" spans="1:7" x14ac:dyDescent="0.2">
      <c r="A10" s="14" t="s">
        <v>38</v>
      </c>
      <c r="B10" s="21">
        <f>'Table 18.8+12 compare ST LT'!B8</f>
        <v>66.303468000000009</v>
      </c>
    </row>
    <row r="11" spans="1:7" x14ac:dyDescent="0.2">
      <c r="A11" s="14" t="s">
        <v>41</v>
      </c>
      <c r="B11" s="21">
        <f>B10-B9</f>
        <v>26.803468000000009</v>
      </c>
    </row>
    <row r="13" spans="1:7" x14ac:dyDescent="0.2">
      <c r="A13" s="14" t="s">
        <v>40</v>
      </c>
      <c r="B13" s="21">
        <f>'Table 18.8+12 compare ST LT'!B15</f>
        <v>64.717271509856872</v>
      </c>
    </row>
    <row r="14" spans="1:7" x14ac:dyDescent="0.2">
      <c r="A14" s="14" t="s">
        <v>39</v>
      </c>
      <c r="B14" s="21">
        <f>'Table 18.8+12 compare ST LT'!B16</f>
        <v>58.248384671703413</v>
      </c>
    </row>
    <row r="15" spans="1:7" x14ac:dyDescent="0.2">
      <c r="A15" s="14" t="s">
        <v>42</v>
      </c>
      <c r="B15" s="21">
        <f>B14-B13</f>
        <v>-6.468886838153459</v>
      </c>
    </row>
    <row r="18" spans="1:4" ht="32" x14ac:dyDescent="0.2">
      <c r="A18" s="17"/>
      <c r="B18" s="18" t="s">
        <v>43</v>
      </c>
      <c r="C18" s="18" t="s">
        <v>44</v>
      </c>
    </row>
    <row r="19" spans="1:4" x14ac:dyDescent="0.2">
      <c r="A19" s="19" t="s">
        <v>50</v>
      </c>
      <c r="B19" s="20">
        <f t="shared" ref="B19:C22" si="0">C26</f>
        <v>-6.468886838153459</v>
      </c>
      <c r="C19" s="20">
        <f t="shared" si="0"/>
        <v>-11.092381390213204</v>
      </c>
    </row>
    <row r="20" spans="1:4" x14ac:dyDescent="0.2">
      <c r="A20" s="19" t="s">
        <v>67</v>
      </c>
      <c r="B20" s="20">
        <f t="shared" si="0"/>
        <v>-7.8252861968093654</v>
      </c>
      <c r="C20" s="20">
        <f t="shared" si="0"/>
        <v>-13.420365827528062</v>
      </c>
    </row>
    <row r="21" spans="1:4" x14ac:dyDescent="0.2">
      <c r="A21" s="19" t="s">
        <v>68</v>
      </c>
      <c r="B21" s="20">
        <f t="shared" si="0"/>
        <v>-22.200330765587072</v>
      </c>
      <c r="C21" s="20">
        <f t="shared" si="0"/>
        <v>-38.073567262981832</v>
      </c>
    </row>
    <row r="22" spans="1:4" x14ac:dyDescent="0.2">
      <c r="A22" s="1" t="s">
        <v>51</v>
      </c>
      <c r="B22" s="2">
        <f t="shared" si="0"/>
        <v>-36.494503800549893</v>
      </c>
      <c r="C22" s="2">
        <f t="shared" si="0"/>
        <v>-62.586314480723097</v>
      </c>
    </row>
    <row r="24" spans="1:4" x14ac:dyDescent="0.2">
      <c r="A24" s="14" t="s">
        <v>45</v>
      </c>
    </row>
    <row r="25" spans="1:4" ht="48" x14ac:dyDescent="0.2">
      <c r="B25" s="17"/>
      <c r="C25" s="18" t="s">
        <v>43</v>
      </c>
      <c r="D25" s="18" t="s">
        <v>44</v>
      </c>
    </row>
    <row r="26" spans="1:4" x14ac:dyDescent="0.2">
      <c r="B26" s="19" t="s">
        <v>69</v>
      </c>
      <c r="C26" s="20">
        <f>B4</f>
        <v>-6.468886838153459</v>
      </c>
      <c r="D26" s="20">
        <f>C4</f>
        <v>-11.092381390213204</v>
      </c>
    </row>
    <row r="27" spans="1:4" x14ac:dyDescent="0.2">
      <c r="B27" s="19" t="s">
        <v>48</v>
      </c>
      <c r="C27" s="20">
        <f>'Table 18.10 S + 18.11 E'!F12</f>
        <v>-7.8252861968093654</v>
      </c>
      <c r="D27" s="20">
        <f>'Table 18.10 S + 18.11 E'!F11</f>
        <v>-13.420365827528062</v>
      </c>
    </row>
    <row r="28" spans="1:4" x14ac:dyDescent="0.2">
      <c r="B28" s="19" t="s">
        <v>49</v>
      </c>
      <c r="C28" s="20">
        <f>'Table 18.10 S + 18.11 E'!B12+'Table 18.10 S + 18.11 E'!C12</f>
        <v>-22.200330765587072</v>
      </c>
      <c r="D28" s="20">
        <f>'Table 18.10 S + 18.11 E'!B11+'Table 18.10 S + 18.11 E'!C11</f>
        <v>-38.073567262981832</v>
      </c>
    </row>
    <row r="29" spans="1:4" x14ac:dyDescent="0.2">
      <c r="B29" s="1" t="s">
        <v>70</v>
      </c>
      <c r="C29" s="2">
        <f>C26+C27+C28</f>
        <v>-36.494503800549893</v>
      </c>
      <c r="D29" s="2">
        <f>D26+D27+D28</f>
        <v>-62.586314480723097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Werkbladen</vt:lpstr>
      </vt:variant>
      <vt:variant>
        <vt:i4>4</vt:i4>
      </vt:variant>
    </vt:vector>
  </HeadingPairs>
  <TitlesOfParts>
    <vt:vector size="4" baseType="lpstr">
      <vt:lpstr>Table 18.7 ST value</vt:lpstr>
      <vt:lpstr>Table 18.8+12 compare ST LT</vt:lpstr>
      <vt:lpstr>Table 18.10 S + 18.11 E</vt:lpstr>
      <vt:lpstr>Table 18.6 IV change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willem schramade</dc:creator>
  <cp:lastModifiedBy>Dirk Schoenmaker</cp:lastModifiedBy>
  <dcterms:created xsi:type="dcterms:W3CDTF">2019-07-04T08:24:14Z</dcterms:created>
  <dcterms:modified xsi:type="dcterms:W3CDTF">2023-09-29T08:34:45Z</dcterms:modified>
</cp:coreProperties>
</file>